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riz\Documents\Excel\"/>
    </mc:Choice>
  </mc:AlternateContent>
  <xr:revisionPtr revIDLastSave="0" documentId="13_ncr:1_{45A48BF9-8F4B-424E-BFA5-994687FEFE89}" xr6:coauthVersionLast="47" xr6:coauthVersionMax="47" xr10:uidLastSave="{00000000-0000-0000-0000-000000000000}"/>
  <bookViews>
    <workbookView xWindow="-108" yWindow="-108" windowWidth="23256" windowHeight="12456" xr2:uid="{425CF8B9-BF3F-4D9F-B9AA-89AD667DB487}"/>
  </bookViews>
  <sheets>
    <sheet name="Overview" sheetId="6" r:id="rId1"/>
    <sheet name="Assumptions" sheetId="5" r:id="rId2"/>
    <sheet name="1. Vehicle Mix by Area" sheetId="1" r:id="rId3"/>
    <sheet name="2. Mission Difficulty" sheetId="3" r:id="rId4"/>
    <sheet name="3. Day vs Night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4" l="1"/>
  <c r="C20" i="6"/>
  <c r="C17" i="6"/>
  <c r="C18" i="6"/>
  <c r="H43" i="4"/>
  <c r="I43" i="4" a="1"/>
  <c r="I43" i="4" s="1"/>
  <c r="J43" i="4" s="1"/>
  <c r="H44" i="4"/>
  <c r="I44" i="4" a="1"/>
  <c r="I44" i="4" s="1"/>
  <c r="J44" i="4" s="1"/>
  <c r="H45" i="4"/>
  <c r="I45" i="4" a="1"/>
  <c r="I45" i="4" s="1"/>
  <c r="J45" i="4" s="1"/>
  <c r="H46" i="4"/>
  <c r="I46" i="4" a="1"/>
  <c r="I46" i="4" s="1"/>
  <c r="J46" i="4" s="1"/>
  <c r="H42" i="4"/>
  <c r="I42" i="4" a="1"/>
  <c r="I42" i="4" s="1"/>
  <c r="J42" i="4" s="1"/>
  <c r="J48" i="4"/>
  <c r="I34" i="4"/>
  <c r="J34" i="4"/>
  <c r="N34" i="4"/>
  <c r="O33" i="4"/>
  <c r="N25" i="4"/>
  <c r="N26" i="4"/>
  <c r="N27" i="4"/>
  <c r="N31" i="4" s="1"/>
  <c r="N28" i="4"/>
  <c r="N29" i="4"/>
  <c r="N30" i="4"/>
  <c r="B17" i="4"/>
  <c r="C17" i="4"/>
  <c r="D17" i="4"/>
  <c r="E17" i="4"/>
  <c r="F17" i="4"/>
  <c r="G17" i="4"/>
  <c r="H17" i="4"/>
  <c r="I17" i="4"/>
  <c r="J17" i="4"/>
  <c r="K17" i="4"/>
  <c r="L17" i="4"/>
  <c r="M17" i="4"/>
  <c r="B18" i="4"/>
  <c r="C18" i="4"/>
  <c r="D18" i="4"/>
  <c r="E18" i="4"/>
  <c r="F18" i="4"/>
  <c r="G18" i="4"/>
  <c r="H18" i="4"/>
  <c r="I18" i="4"/>
  <c r="J18" i="4"/>
  <c r="K18" i="4"/>
  <c r="L18" i="4"/>
  <c r="M18" i="4"/>
  <c r="B19" i="4"/>
  <c r="C19" i="4"/>
  <c r="D19" i="4"/>
  <c r="E19" i="4"/>
  <c r="F19" i="4"/>
  <c r="G19" i="4"/>
  <c r="H19" i="4"/>
  <c r="I19" i="4"/>
  <c r="J19" i="4"/>
  <c r="K19" i="4"/>
  <c r="L19" i="4"/>
  <c r="M19" i="4"/>
  <c r="B20" i="4"/>
  <c r="C20" i="4"/>
  <c r="D20" i="4"/>
  <c r="E20" i="4"/>
  <c r="F20" i="4"/>
  <c r="G20" i="4"/>
  <c r="H20" i="4"/>
  <c r="I20" i="4"/>
  <c r="J20" i="4"/>
  <c r="K20" i="4"/>
  <c r="L20" i="4"/>
  <c r="M20" i="4"/>
  <c r="B21" i="4"/>
  <c r="C21" i="4"/>
  <c r="D21" i="4"/>
  <c r="E21" i="4"/>
  <c r="F21" i="4"/>
  <c r="G21" i="4"/>
  <c r="H21" i="4"/>
  <c r="I21" i="4"/>
  <c r="J21" i="4"/>
  <c r="K21" i="4"/>
  <c r="L21" i="4"/>
  <c r="M21" i="4"/>
  <c r="B22" i="4"/>
  <c r="C22" i="4"/>
  <c r="D22" i="4"/>
  <c r="E22" i="4"/>
  <c r="F22" i="4"/>
  <c r="G22" i="4"/>
  <c r="H22" i="4"/>
  <c r="I22" i="4"/>
  <c r="J22" i="4"/>
  <c r="K22" i="4"/>
  <c r="L22" i="4"/>
  <c r="M22" i="4"/>
  <c r="D12" i="4"/>
  <c r="D13" i="4"/>
  <c r="L5" i="4"/>
  <c r="M5" i="4" s="1"/>
  <c r="O5" i="4" s="1"/>
  <c r="F28" i="4" s="1"/>
  <c r="N5" i="4"/>
  <c r="L6" i="4"/>
  <c r="M6" i="4" s="1"/>
  <c r="O6" i="4" s="1"/>
  <c r="F29" i="4" s="1"/>
  <c r="N6" i="4"/>
  <c r="L7" i="4"/>
  <c r="M7" i="4"/>
  <c r="O7" i="4" s="1"/>
  <c r="F30" i="4" s="1"/>
  <c r="N7" i="4"/>
  <c r="L8" i="4"/>
  <c r="M8" i="4"/>
  <c r="O8" i="4" s="1"/>
  <c r="F31" i="4" s="1"/>
  <c r="N8" i="4"/>
  <c r="L9" i="4"/>
  <c r="M9" i="4"/>
  <c r="O9" i="4" s="1"/>
  <c r="F32" i="4" s="1"/>
  <c r="N9" i="4"/>
  <c r="L10" i="4"/>
  <c r="M10" i="4" s="1"/>
  <c r="O10" i="4" s="1"/>
  <c r="F33" i="4" s="1"/>
  <c r="N10" i="4"/>
  <c r="H47" i="3" a="1"/>
  <c r="H47" i="3" s="1"/>
  <c r="H48" i="3" a="1"/>
  <c r="H48" i="3" s="1"/>
  <c r="H49" i="3" a="1"/>
  <c r="H49" i="3" s="1"/>
  <c r="H50" i="3" a="1"/>
  <c r="H50" i="3" s="1"/>
  <c r="H51" i="3" a="1"/>
  <c r="H51" i="3" s="1"/>
  <c r="H52" i="3" a="1"/>
  <c r="H52" i="3" s="1"/>
  <c r="G47" i="3"/>
  <c r="G48" i="3"/>
  <c r="G49" i="3"/>
  <c r="G50" i="3"/>
  <c r="G51" i="3"/>
  <c r="G52" i="3"/>
  <c r="M37" i="3"/>
  <c r="N37" i="3"/>
  <c r="O37" i="3"/>
  <c r="P37" i="3"/>
  <c r="Q37" i="3"/>
  <c r="R37" i="3"/>
  <c r="C37" i="3"/>
  <c r="E37" i="3"/>
  <c r="F37" i="3"/>
  <c r="C38" i="3"/>
  <c r="E38" i="3"/>
  <c r="F38" i="3"/>
  <c r="C39" i="3"/>
  <c r="E39" i="3"/>
  <c r="F39" i="3"/>
  <c r="C40" i="3"/>
  <c r="E40" i="3"/>
  <c r="F40" i="3"/>
  <c r="C41" i="3"/>
  <c r="E41" i="3"/>
  <c r="F41" i="3"/>
  <c r="C42" i="3"/>
  <c r="E42" i="3"/>
  <c r="F42" i="3"/>
  <c r="L27" i="3"/>
  <c r="M27" i="3"/>
  <c r="N27" i="3"/>
  <c r="O27" i="3"/>
  <c r="P27" i="3"/>
  <c r="Q27" i="3"/>
  <c r="R27" i="3"/>
  <c r="S27" i="3"/>
  <c r="T27" i="3"/>
  <c r="U27" i="3"/>
  <c r="L28" i="3"/>
  <c r="M28" i="3"/>
  <c r="N28" i="3"/>
  <c r="O28" i="3"/>
  <c r="P28" i="3"/>
  <c r="Q28" i="3"/>
  <c r="R28" i="3"/>
  <c r="S28" i="3"/>
  <c r="T28" i="3"/>
  <c r="U28" i="3"/>
  <c r="L29" i="3"/>
  <c r="M29" i="3"/>
  <c r="N29" i="3"/>
  <c r="O29" i="3"/>
  <c r="P29" i="3"/>
  <c r="Q29" i="3"/>
  <c r="R29" i="3"/>
  <c r="S29" i="3"/>
  <c r="T29" i="3"/>
  <c r="U29" i="3"/>
  <c r="L30" i="3"/>
  <c r="M30" i="3"/>
  <c r="Q35" i="3" s="1"/>
  <c r="N30" i="3"/>
  <c r="O30" i="3"/>
  <c r="P30" i="3"/>
  <c r="Q30" i="3"/>
  <c r="R30" i="3"/>
  <c r="S30" i="3"/>
  <c r="T30" i="3"/>
  <c r="U30" i="3"/>
  <c r="L31" i="3"/>
  <c r="M31" i="3"/>
  <c r="N31" i="3"/>
  <c r="O31" i="3"/>
  <c r="P31" i="3"/>
  <c r="Q31" i="3"/>
  <c r="R31" i="3"/>
  <c r="S31" i="3"/>
  <c r="T31" i="3"/>
  <c r="U31" i="3"/>
  <c r="L32" i="3"/>
  <c r="M32" i="3"/>
  <c r="N32" i="3"/>
  <c r="O32" i="3"/>
  <c r="P32" i="3"/>
  <c r="Q32" i="3"/>
  <c r="R32" i="3"/>
  <c r="S32" i="3"/>
  <c r="T32" i="3"/>
  <c r="U32" i="3"/>
  <c r="G28" i="3"/>
  <c r="H28" i="3"/>
  <c r="G29" i="3"/>
  <c r="H29" i="3"/>
  <c r="G30" i="3"/>
  <c r="H30" i="3" s="1"/>
  <c r="G31" i="3"/>
  <c r="H31" i="3"/>
  <c r="G32" i="3"/>
  <c r="H32" i="3" s="1"/>
  <c r="G33" i="3"/>
  <c r="E26" i="3"/>
  <c r="E25" i="3"/>
  <c r="C23" i="3"/>
  <c r="C10" i="1"/>
  <c r="B3" i="1"/>
  <c r="B4" i="1"/>
  <c r="B5" i="1"/>
  <c r="B6" i="1"/>
  <c r="B7" i="1"/>
  <c r="B8" i="1"/>
  <c r="C3" i="1"/>
  <c r="C4" i="1"/>
  <c r="C5" i="1"/>
  <c r="C6" i="1"/>
  <c r="C7" i="1"/>
  <c r="C8" i="1"/>
  <c r="D3" i="1"/>
  <c r="D10" i="1" s="1"/>
  <c r="D4" i="1"/>
  <c r="F4" i="1" s="1"/>
  <c r="D5" i="1"/>
  <c r="F5" i="1" s="1"/>
  <c r="D6" i="1"/>
  <c r="H6" i="1" s="1"/>
  <c r="D7" i="1"/>
  <c r="J7" i="1" s="1"/>
  <c r="D8" i="1"/>
  <c r="F8" i="1" s="1"/>
  <c r="E3" i="1"/>
  <c r="E4" i="1"/>
  <c r="E5" i="1"/>
  <c r="E6" i="1"/>
  <c r="E7" i="1"/>
  <c r="E8" i="1"/>
  <c r="J3" i="1"/>
  <c r="J6" i="1"/>
  <c r="J8" i="1"/>
  <c r="P7" i="1"/>
  <c r="C33" i="5"/>
  <c r="C19" i="5"/>
  <c r="C18" i="5"/>
  <c r="C13" i="5"/>
  <c r="M35" i="3"/>
  <c r="D14" i="4"/>
  <c r="O35" i="3"/>
  <c r="N35" i="3"/>
  <c r="N33" i="4" l="1"/>
  <c r="O25" i="4"/>
  <c r="O28" i="4"/>
  <c r="O29" i="4"/>
  <c r="O30" i="4"/>
  <c r="O27" i="4"/>
  <c r="O26" i="4"/>
  <c r="P35" i="3"/>
  <c r="R35" i="3"/>
  <c r="H33" i="3"/>
  <c r="P8" i="1"/>
  <c r="Q8" i="1" s="1"/>
  <c r="P3" i="1"/>
  <c r="N8" i="1"/>
  <c r="P6" i="1"/>
  <c r="F7" i="1"/>
  <c r="F3" i="1"/>
  <c r="G5" i="1" s="1"/>
  <c r="L8" i="1"/>
  <c r="F6" i="1"/>
  <c r="G6" i="1" s="1"/>
  <c r="L7" i="1"/>
  <c r="M7" i="1" s="1"/>
  <c r="K3" i="1"/>
  <c r="P5" i="1"/>
  <c r="H7" i="1"/>
  <c r="P4" i="1"/>
  <c r="H3" i="1"/>
  <c r="N6" i="1"/>
  <c r="L6" i="1"/>
  <c r="N7" i="1"/>
  <c r="N3" i="1"/>
  <c r="L3" i="1"/>
  <c r="K8" i="1"/>
  <c r="K6" i="1"/>
  <c r="H8" i="1"/>
  <c r="L4" i="1"/>
  <c r="H4" i="1"/>
  <c r="I4" i="1" s="1"/>
  <c r="N5" i="1"/>
  <c r="O5" i="1" s="1"/>
  <c r="L5" i="1"/>
  <c r="J5" i="1"/>
  <c r="H5" i="1"/>
  <c r="N4" i="1"/>
  <c r="J4" i="1"/>
  <c r="K4" i="1" s="1"/>
  <c r="C29" i="4"/>
  <c r="D28" i="4"/>
  <c r="H28" i="4" s="1"/>
  <c r="J28" i="4" s="1"/>
  <c r="D30" i="4"/>
  <c r="D31" i="4"/>
  <c r="H31" i="4" s="1"/>
  <c r="J31" i="4" s="1"/>
  <c r="D33" i="4"/>
  <c r="H33" i="4" s="1"/>
  <c r="J33" i="4" s="1"/>
  <c r="E33" i="4"/>
  <c r="D32" i="4"/>
  <c r="H32" i="4" s="1"/>
  <c r="J32" i="4" s="1"/>
  <c r="E28" i="4"/>
  <c r="E29" i="4"/>
  <c r="G29" i="4" s="1"/>
  <c r="D29" i="4"/>
  <c r="H29" i="4" s="1"/>
  <c r="C28" i="4"/>
  <c r="G28" i="4" s="1"/>
  <c r="I28" i="4" s="1"/>
  <c r="H30" i="4"/>
  <c r="C32" i="4"/>
  <c r="C30" i="4"/>
  <c r="C33" i="4"/>
  <c r="C31" i="4"/>
  <c r="E32" i="4"/>
  <c r="E31" i="4"/>
  <c r="E30" i="4"/>
  <c r="J30" i="4" l="1"/>
  <c r="O31" i="4"/>
  <c r="J29" i="4"/>
  <c r="I29" i="4"/>
  <c r="O7" i="1"/>
  <c r="I8" i="1"/>
  <c r="M8" i="1"/>
  <c r="G7" i="1"/>
  <c r="O8" i="1"/>
  <c r="Q3" i="1"/>
  <c r="P10" i="1"/>
  <c r="O6" i="1"/>
  <c r="I3" i="1"/>
  <c r="H10" i="1"/>
  <c r="Q4" i="1"/>
  <c r="I7" i="1"/>
  <c r="J10" i="1"/>
  <c r="M4" i="1"/>
  <c r="G4" i="1"/>
  <c r="G3" i="1"/>
  <c r="F10" i="1"/>
  <c r="M3" i="1"/>
  <c r="L10" i="1"/>
  <c r="O3" i="1"/>
  <c r="N10" i="1"/>
  <c r="Q6" i="1"/>
  <c r="Q7" i="1"/>
  <c r="M6" i="1"/>
  <c r="O4" i="1"/>
  <c r="I6" i="1"/>
  <c r="I5" i="1"/>
  <c r="K7" i="1"/>
  <c r="K5" i="1"/>
  <c r="K10" i="1" s="1"/>
  <c r="M5" i="1"/>
  <c r="Q5" i="1"/>
  <c r="G8" i="1"/>
  <c r="G31" i="4"/>
  <c r="I31" i="4" s="1"/>
  <c r="G32" i="4"/>
  <c r="I32" i="4" s="1"/>
  <c r="G33" i="4"/>
  <c r="I33" i="4" s="1"/>
  <c r="G30" i="4"/>
  <c r="I30" i="4" s="1"/>
  <c r="I10" i="1" l="1"/>
  <c r="Q10" i="1"/>
  <c r="O10" i="1"/>
  <c r="M10" i="1"/>
  <c r="G10" i="1"/>
  <c r="I36" i="4" l="1"/>
  <c r="C19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<sst xmlns="http://schemas.openxmlformats.org/spreadsheetml/2006/main" count="239" uniqueCount="147">
  <si>
    <t>Vehicle Types</t>
  </si>
  <si>
    <t>Off Road</t>
  </si>
  <si>
    <t>Luxury High Sport</t>
  </si>
  <si>
    <t>Super Cars</t>
  </si>
  <si>
    <t>Weight Pool</t>
  </si>
  <si>
    <t>Weight Pool (%)</t>
  </si>
  <si>
    <t>Priority Area Spawn</t>
  </si>
  <si>
    <t>Freeway</t>
  </si>
  <si>
    <t>Country</t>
  </si>
  <si>
    <t>Downtown</t>
  </si>
  <si>
    <t>Vinewood Hills</t>
  </si>
  <si>
    <t>South Side</t>
  </si>
  <si>
    <t>Total</t>
  </si>
  <si>
    <t>Freeway (Multiplier)</t>
  </si>
  <si>
    <t>Freeway (Normalized)</t>
  </si>
  <si>
    <t>Country (Multiplier)</t>
  </si>
  <si>
    <t>Country (Normalized)</t>
  </si>
  <si>
    <t>Sport</t>
  </si>
  <si>
    <t>Muscle</t>
  </si>
  <si>
    <t>Rockford Hills</t>
  </si>
  <si>
    <t>Sedan/SUV</t>
  </si>
  <si>
    <t>Vinewood Hills (Multiplier)</t>
  </si>
  <si>
    <t>Downtown (Multiplier)</t>
  </si>
  <si>
    <t>Downtown (Normalized)</t>
  </si>
  <si>
    <t>Vinewood Hills (Normalized)</t>
  </si>
  <si>
    <t>South Side (Multiplier)</t>
  </si>
  <si>
    <t>South Side (Normalized)</t>
  </si>
  <si>
    <t>Rockford Hills (Multiplier)</t>
  </si>
  <si>
    <t>Rockford Hills (Normalized)</t>
  </si>
  <si>
    <t>Six Locations</t>
  </si>
  <si>
    <t xml:space="preserve">Time Per Mission ≈ </t>
  </si>
  <si>
    <t>Minutes (Real Time)</t>
  </si>
  <si>
    <t>Day length in game</t>
  </si>
  <si>
    <t>Location Mission Division:</t>
  </si>
  <si>
    <t>Vehicle Type</t>
  </si>
  <si>
    <t>Maneuver Difficulty</t>
  </si>
  <si>
    <t>Luxury</t>
  </si>
  <si>
    <t>Super</t>
  </si>
  <si>
    <t>General traffic to avoid, slower moving</t>
  </si>
  <si>
    <t>Faster, aggressive drivers</t>
  </si>
  <si>
    <t>Aggressive drivers</t>
  </si>
  <si>
    <t>Areas</t>
  </si>
  <si>
    <t>South</t>
  </si>
  <si>
    <t>Vinewood</t>
  </si>
  <si>
    <t>Rockford</t>
  </si>
  <si>
    <t xml:space="preserve"> </t>
  </si>
  <si>
    <t>(%)</t>
  </si>
  <si>
    <t>Daytime:</t>
  </si>
  <si>
    <t>SUV</t>
  </si>
  <si>
    <t>Night time</t>
  </si>
  <si>
    <t>Population Multiplier:</t>
  </si>
  <si>
    <t>Night Factor:</t>
  </si>
  <si>
    <t>Day Mix</t>
  </si>
  <si>
    <t>Day Amplifier</t>
  </si>
  <si>
    <t>Night Amplifier</t>
  </si>
  <si>
    <t>Night Mix</t>
  </si>
  <si>
    <t>Pop Day</t>
  </si>
  <si>
    <t>Pop Night</t>
  </si>
  <si>
    <t>Final Day</t>
  </si>
  <si>
    <t>Final Night</t>
  </si>
  <si>
    <t>Location</t>
  </si>
  <si>
    <t>Day&amp;Missions</t>
  </si>
  <si>
    <t>Night&amp;Missions</t>
  </si>
  <si>
    <t>Minutes (IRL)</t>
  </si>
  <si>
    <t>Mission Duration (Est)</t>
  </si>
  <si>
    <t>Mission Distribution</t>
  </si>
  <si>
    <t>Type</t>
  </si>
  <si>
    <t xml:space="preserve"> Sum: </t>
  </si>
  <si>
    <t>Total:</t>
  </si>
  <si>
    <t>Missions per in game day:</t>
  </si>
  <si>
    <t>Missions a day</t>
  </si>
  <si>
    <t>Time for all missions:</t>
  </si>
  <si>
    <t>In game days:</t>
  </si>
  <si>
    <t>(In game days)</t>
  </si>
  <si>
    <t>Nighttime multiplier:</t>
  </si>
  <si>
    <t>Mission %</t>
  </si>
  <si>
    <t>Weighted Impact</t>
  </si>
  <si>
    <t>Model Assumptions</t>
  </si>
  <si>
    <t>Every input used by the analysis lives here. Blue cells are designer assumptions (estimates, not extracted game data). Change them and all sheets update.</t>
  </si>
  <si>
    <t>1. Vehicle Inputs</t>
  </si>
  <si>
    <t>Spawn Weight</t>
  </si>
  <si>
    <t>Priority Area</t>
  </si>
  <si>
    <t>Time-of-Day Boost</t>
  </si>
  <si>
    <t>Rationale</t>
  </si>
  <si>
    <t>Day</t>
  </si>
  <si>
    <t>Bulkier vehicles, slower moving</t>
  </si>
  <si>
    <t>Night</t>
  </si>
  <si>
    <t>Expensive vehicles; collisions put bounties on the player</t>
  </si>
  <si>
    <t>Most aggressive; largest bounties</t>
  </si>
  <si>
    <t>2. Model Constants</t>
  </si>
  <si>
    <t>Constant</t>
  </si>
  <si>
    <t>Value</t>
  </si>
  <si>
    <t>Unit</t>
  </si>
  <si>
    <t>Notes</t>
  </si>
  <si>
    <t>Priority-area spawn boost</t>
  </si>
  <si>
    <t>x</t>
  </si>
  <si>
    <t>Applied to a vehicle type inside its priority area</t>
  </si>
  <si>
    <t>Non-priority multiplier</t>
  </si>
  <si>
    <t>= 1 / boost. Applied to all other types in that area</t>
  </si>
  <si>
    <t>Effective relative boost</t>
  </si>
  <si>
    <t>After normalising, only this ratio matters</t>
  </si>
  <si>
    <t>Time-of-day amplifier</t>
  </si>
  <si>
    <t>Applied to Day types in daytime, Night types at night</t>
  </si>
  <si>
    <t>Population density sensitivity</t>
  </si>
  <si>
    <t>Population multiplier = 1 + sensitivity × density</t>
  </si>
  <si>
    <t>Mission duration (est.)</t>
  </si>
  <si>
    <t>min (real time)</t>
  </si>
  <si>
    <t>Average Strangers &amp; Freaks mission</t>
  </si>
  <si>
    <t>In-game day length</t>
  </si>
  <si>
    <t>GTA V: 1 in-game day = 48 real minutes</t>
  </si>
  <si>
    <t>3. Location Inputs</t>
  </si>
  <si>
    <t>Strangers &amp; Freaks Missions</t>
  </si>
  <si>
    <t>Population Density</t>
  </si>
  <si>
    <t>Night Factor</t>
  </si>
  <si>
    <t>No pedestrian population on freeways</t>
  </si>
  <si>
    <t>Night factor = share of daytime population still present at night (1 = no drop)</t>
  </si>
  <si>
    <t>Sensitivity: does night stay easier?</t>
  </si>
  <si>
    <t>Night-drop scale (k)</t>
  </si>
  <si>
    <t>Day Index</t>
  </si>
  <si>
    <t>Night Index</t>
  </si>
  <si>
    <t>Night vs Day</t>
  </si>
  <si>
    <t>k scales each area's assumed night drop (1 − Night Factor). k = 0: no drop; k = 1: base case.</t>
  </si>
  <si>
    <t>Break-even uniform night factor</t>
  </si>
  <si>
    <t>Night is only easier if night population falls below this share of daytime.</t>
  </si>
  <si>
    <t>Time-of-Day</t>
  </si>
  <si>
    <t>Difficulty Index</t>
  </si>
  <si>
    <t>(mission share × difficulty index)</t>
  </si>
  <si>
    <t>Missions</t>
  </si>
  <si>
    <t>Share</t>
  </si>
  <si>
    <t>Chart data:</t>
  </si>
  <si>
    <t>GTA V Traffic &amp; Mission Difficulty</t>
  </si>
  <si>
    <t>Design Questions</t>
  </si>
  <si>
    <t>What is the distribution of vehicle types in each area of the map?</t>
  </si>
  <si>
    <t>How do maneuver difficulty and mission distribution make an area harder or easier?</t>
  </si>
  <si>
    <t>Is it easier to travel between missions during the day or at night?</t>
  </si>
  <si>
    <t>Method</t>
  </si>
  <si>
    <t>•</t>
  </si>
  <si>
    <t>Spawn weights and priority-area boosts give each area's vehicle mix (normalised to 100%).</t>
  </si>
  <si>
    <t>Each vehicle type gets a maneuver-difficulty score; the mix-weighted average is each area's Difficulty Index.</t>
  </si>
  <si>
    <t>The Difficulty Index is weighted by mission share, population density and day/night factors to give a Challenge Index.</t>
  </si>
  <si>
    <t>A sensitivity test checks how much the day/night result depends on the assumed night-time population drop.</t>
  </si>
  <si>
    <t>Heat map by MacandBoi2.</t>
  </si>
  <si>
    <t>A systems-design analysis of vehicle map progression difficulty  |  Aariz Abdul</t>
  </si>
  <si>
    <t>Key Findings</t>
  </si>
  <si>
    <t>All inputs are estimates, not extracted game data. Blue cells on the Assumptions sheet can be changed.</t>
  </si>
  <si>
    <t>Night vs Day challenge gap</t>
  </si>
  <si>
    <t>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</si>
</sst>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&quot;(&quot;0.0&quot; IRL hours)&quot;"/>
    <numFmt numFmtId="166" formatCode="\+0.0%;\-0.0%;0.0%"/>
    <numFmt numFmtId="167" formatCode="0.0%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 tint="4.9989318521683403E-2"/>
      <name val="Aptos Narrow"/>
      <family val="2"/>
      <scheme val="minor"/>
    </font>
    <font>
      <b/>
      <sz val="11"/>
      <color theme="2" tint="-9.9978637043366805E-2"/>
      <name val="Aptos Narrow"/>
      <family val="2"/>
      <scheme val="minor"/>
    </font>
    <font>
      <sz val="11"/>
      <color theme="2" tint="-0.89999084444715716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595959"/>
      <name val="Aptos Narrow"/>
      <family val="2"/>
      <scheme val="minor"/>
    </font>
    <font>
      <i/>
      <sz val="11"/>
      <color rgb="FF595959"/>
      <name val="Aptos Narrow"/>
      <family val="2"/>
      <scheme val="minor"/>
    </font>
    <font>
      <b/>
      <sz val="13"/>
      <color rgb="FFC0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FF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sz val="11"/>
      <color rgb="FF0000FF"/>
      <name val="Aptos Narrow"/>
      <family val="2"/>
      <scheme val="minor"/>
    </font>
    <font>
      <i/>
      <sz val="9"/>
      <color rgb="FF595959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i/>
      <sz val="12"/>
      <color rgb="FF595959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9F18F"/>
        <bgColor indexed="64"/>
      </patternFill>
    </fill>
    <fill>
      <patternFill patternType="solid">
        <fgColor rgb="FFD92A0D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  <fill>
      <patternFill patternType="solid">
        <fgColor rgb="FF26262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C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2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3" fontId="4" fillId="0" borderId="0" xfId="1" applyFont="1" applyAlignment="1">
      <alignment vertical="center"/>
    </xf>
    <xf numFmtId="9" fontId="3" fillId="0" borderId="0" xfId="2" applyFont="1" applyAlignment="1">
      <alignment vertical="center"/>
    </xf>
    <xf numFmtId="9" fontId="3" fillId="0" borderId="0" xfId="0" applyNumberFormat="1" applyFont="1" applyAlignment="1">
      <alignment vertical="center"/>
    </xf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3" fillId="5" borderId="0" xfId="0" applyFont="1" applyFill="1" applyAlignment="1">
      <alignment wrapText="1"/>
    </xf>
    <xf numFmtId="0" fontId="6" fillId="6" borderId="0" xfId="0" applyFont="1" applyFill="1" applyAlignment="1">
      <alignment wrapText="1"/>
    </xf>
    <xf numFmtId="0" fontId="3" fillId="7" borderId="0" xfId="0" applyFont="1" applyFill="1" applyAlignment="1">
      <alignment wrapText="1"/>
    </xf>
    <xf numFmtId="0" fontId="7" fillId="6" borderId="0" xfId="0" applyFont="1" applyFill="1" applyAlignment="1">
      <alignment wrapText="1"/>
    </xf>
    <xf numFmtId="0" fontId="7" fillId="5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7" borderId="0" xfId="0" applyFont="1" applyFill="1" applyAlignment="1">
      <alignment wrapText="1"/>
    </xf>
    <xf numFmtId="0" fontId="2" fillId="7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10" borderId="0" xfId="0" applyFont="1" applyFill="1" applyAlignment="1">
      <alignment horizontal="center" vertical="center" wrapText="1"/>
    </xf>
    <xf numFmtId="0" fontId="2" fillId="8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0" fillId="9" borderId="0" xfId="0" applyFill="1" applyAlignment="1">
      <alignment horizontal="center" vertical="center" wrapText="1"/>
    </xf>
    <xf numFmtId="9" fontId="0" fillId="9" borderId="0" xfId="2" applyFont="1" applyFill="1" applyAlignment="1">
      <alignment horizontal="center" vertical="center"/>
    </xf>
    <xf numFmtId="9" fontId="3" fillId="9" borderId="0" xfId="2" applyFont="1" applyFill="1" applyAlignment="1">
      <alignment vertical="center"/>
    </xf>
    <xf numFmtId="9" fontId="0" fillId="0" borderId="0" xfId="2" applyFont="1"/>
    <xf numFmtId="43" fontId="0" fillId="0" borderId="0" xfId="1" applyFont="1"/>
    <xf numFmtId="0" fontId="3" fillId="0" borderId="0" xfId="0" applyFont="1"/>
    <xf numFmtId="0" fontId="0" fillId="0" borderId="0" xfId="0" applyAlignment="1">
      <alignment wrapText="1"/>
    </xf>
    <xf numFmtId="2" fontId="0" fillId="0" borderId="0" xfId="0" applyNumberFormat="1"/>
    <xf numFmtId="9" fontId="0" fillId="0" borderId="0" xfId="0" applyNumberFormat="1"/>
    <xf numFmtId="0" fontId="0" fillId="11" borderId="0" xfId="0" applyFill="1" applyAlignment="1">
      <alignment horizontal="center" vertical="center" wrapText="1"/>
    </xf>
    <xf numFmtId="43" fontId="0" fillId="0" borderId="0" xfId="0" applyNumberFormat="1"/>
    <xf numFmtId="0" fontId="0" fillId="12" borderId="2" xfId="0" applyFill="1" applyBorder="1"/>
    <xf numFmtId="0" fontId="0" fillId="12" borderId="3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9" fontId="0" fillId="12" borderId="3" xfId="2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 wrapText="1"/>
    </xf>
    <xf numFmtId="9" fontId="3" fillId="12" borderId="3" xfId="2" applyFont="1" applyFill="1" applyBorder="1" applyAlignment="1">
      <alignment vertical="center"/>
    </xf>
    <xf numFmtId="0" fontId="0" fillId="12" borderId="4" xfId="0" applyFill="1" applyBorder="1"/>
    <xf numFmtId="0" fontId="3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14" borderId="0" xfId="0" applyFont="1" applyFill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/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2" fontId="15" fillId="0" borderId="7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6" xfId="0" quotePrefix="1" applyFont="1" applyBorder="1"/>
    <xf numFmtId="0" fontId="11" fillId="0" borderId="6" xfId="0" applyFont="1" applyBorder="1"/>
    <xf numFmtId="0" fontId="11" fillId="0" borderId="7" xfId="0" applyFont="1" applyBorder="1"/>
    <xf numFmtId="9" fontId="0" fillId="0" borderId="0" xfId="0" applyNumberFormat="1" applyAlignment="1">
      <alignment horizontal="center" vertical="center"/>
    </xf>
    <xf numFmtId="43" fontId="4" fillId="0" borderId="0" xfId="0" applyNumberFormat="1" applyFont="1" applyAlignment="1">
      <alignment vertical="center"/>
    </xf>
    <xf numFmtId="165" fontId="0" fillId="0" borderId="0" xfId="0" applyNumberFormat="1"/>
    <xf numFmtId="0" fontId="16" fillId="0" borderId="0" xfId="0" applyFont="1"/>
    <xf numFmtId="0" fontId="14" fillId="14" borderId="0" xfId="0" applyFont="1" applyFill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4" fontId="15" fillId="0" borderId="6" xfId="0" applyNumberFormat="1" applyFon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4" fontId="17" fillId="15" borderId="6" xfId="0" applyNumberFormat="1" applyFont="1" applyFill="1" applyBorder="1" applyAlignment="1">
      <alignment horizontal="center"/>
    </xf>
    <xf numFmtId="2" fontId="3" fillId="15" borderId="6" xfId="0" applyNumberFormat="1" applyFont="1" applyFill="1" applyBorder="1" applyAlignment="1">
      <alignment horizontal="center"/>
    </xf>
    <xf numFmtId="166" fontId="3" fillId="15" borderId="6" xfId="0" applyNumberFormat="1" applyFont="1" applyFill="1" applyBorder="1" applyAlignment="1">
      <alignment horizontal="center"/>
    </xf>
    <xf numFmtId="0" fontId="18" fillId="0" borderId="0" xfId="0" applyFont="1"/>
    <xf numFmtId="2" fontId="3" fillId="0" borderId="0" xfId="0" applyNumberFormat="1" applyFont="1" applyAlignment="1">
      <alignment horizontal="center"/>
    </xf>
    <xf numFmtId="167" fontId="0" fillId="0" borderId="0" xfId="2" applyNumberFormat="1" applyFont="1"/>
    <xf numFmtId="0" fontId="9" fillId="0" borderId="0" xfId="3" quotePrefix="1"/>
    <xf numFmtId="0" fontId="9" fillId="0" borderId="0" xfId="3"/>
    <xf numFmtId="0" fontId="19" fillId="0" borderId="0" xfId="0" applyFont="1"/>
    <xf numFmtId="0" fontId="20" fillId="0" borderId="0" xfId="0" applyFont="1"/>
    <xf numFmtId="0" fontId="13" fillId="0" borderId="9" xfId="0" applyFont="1" applyBorder="1"/>
    <xf numFmtId="0" fontId="21" fillId="0" borderId="9" xfId="0" applyFont="1" applyBorder="1"/>
    <xf numFmtId="0" fontId="0" fillId="16" borderId="0" xfId="0" applyFill="1"/>
    <xf numFmtId="0" fontId="13" fillId="0" borderId="9" xfId="0" applyFont="1" applyBorder="1" applyAlignment="1">
      <alignment horizontal="left"/>
    </xf>
    <xf numFmtId="0" fontId="22" fillId="0" borderId="0" xfId="0" applyFont="1" applyAlignment="1">
      <alignment wrapText="1"/>
    </xf>
    <xf numFmtId="0" fontId="0" fillId="0" borderId="0" xfId="0" applyAlignment="1">
      <alignment horizontal="right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35" formatCode="_-* #,##0.00_-;\-* #,##0.0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  <dxf>
      <numFmt numFmtId="35" formatCode="_-* #,##0.00_-;\-* #,##0.00_-;_-* &quot;-&quot;??_-;_-@_-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</font>
      <numFmt numFmtId="13" formatCode="0%"/>
      <alignment vertical="center" textRotation="0" indent="0" justifyLastLine="0" shrinkToFit="0" readingOrder="0"/>
    </dxf>
    <dxf>
      <font>
        <color theme="1" tint="0.499984740745262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b/>
      </font>
      <numFmt numFmtId="13" formatCode="0%"/>
      <alignment vertical="center" textRotation="0" indent="0" justifyLastLine="0" shrinkToFit="0" readingOrder="0"/>
    </dxf>
    <dxf>
      <font>
        <color theme="1" tint="0.499984740745262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b/>
      </font>
      <numFmt numFmtId="13" formatCode="0%"/>
      <alignment vertical="center" textRotation="0" indent="0" justifyLastLine="0" shrinkToFit="0" readingOrder="0"/>
    </dxf>
    <dxf>
      <font>
        <color theme="1" tint="0.499984740745262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b/>
      </font>
      <numFmt numFmtId="13" formatCode="0%"/>
      <alignment horizontal="general" vertical="center" textRotation="0" wrapText="0" indent="0" justifyLastLine="0" shrinkToFit="0" readingOrder="0"/>
    </dxf>
    <dxf>
      <font>
        <color theme="1" tint="0.499984740745262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b/>
      </font>
      <numFmt numFmtId="13" formatCode="0%"/>
      <alignment horizontal="general" vertical="center" textRotation="0" wrapText="0" indent="0" justifyLastLine="0" shrinkToFit="0" readingOrder="0"/>
    </dxf>
    <dxf>
      <font>
        <color theme="1" tint="0.499984740745262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b/>
      </font>
      <numFmt numFmtId="13" formatCode="0%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499984740745262"/>
        <name val="Aptos Narrow"/>
        <family val="2"/>
        <scheme val="minor"/>
      </font>
      <numFmt numFmtId="35" formatCode="_-* #,##0.00_-;\-* #,##0.00_-;_-* &quot;-&quot;??_-;_-@_-"/>
      <alignment vertical="center" textRotation="0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3" formatCode="0%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595959"/>
        <name val="Aptos Narrow"/>
        <family val="2"/>
        <scheme val="minor"/>
      </font>
      <border diagonalUp="0" diagonalDown="0">
        <left/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rgb="FFD9D9D9"/>
        </top>
        <bottom/>
        <vertical/>
        <horizontal/>
      </border>
    </dxf>
    <dxf>
      <border diagonalUp="0" diagonalDown="0">
        <left/>
        <right/>
        <top style="thin">
          <color rgb="FFD9D9D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262626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9F18F"/>
      <color rgb="FFF6AC7E"/>
      <color rgb="FFD92A0D"/>
      <color rgb="FFED64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'1. Vehicle Mix by Area'!$G$2</c:f>
              <c:strCache>
                <c:ptCount val="1"/>
                <c:pt idx="0">
                  <c:v>Freeway (Normalized)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'1. Vehicle Mix by Area'!$B$3:$B$8</c:f>
              <c:strCache>
                <c:ptCount val="6"/>
                <c:pt idx="0">
                  <c:v>Sedan/SUV</c:v>
                </c:pt>
                <c:pt idx="1">
                  <c:v>Off Road</c:v>
                </c:pt>
                <c:pt idx="2">
                  <c:v>Sport</c:v>
                </c:pt>
                <c:pt idx="3">
                  <c:v>Luxury High Sport</c:v>
                </c:pt>
                <c:pt idx="4">
                  <c:v>Muscle</c:v>
                </c:pt>
                <c:pt idx="5">
                  <c:v>Super Cars</c:v>
                </c:pt>
              </c:strCache>
            </c:strRef>
          </c:cat>
          <c:val>
            <c:numRef>
              <c:f>'1. Vehicle Mix by Area'!$G$3:$G$8</c:f>
              <c:numCache>
                <c:formatCode>0%</c:formatCode>
                <c:ptCount val="6"/>
                <c:pt idx="0">
                  <c:v>0.74503311258278138</c:v>
                </c:pt>
                <c:pt idx="1">
                  <c:v>9.9337748344370841E-2</c:v>
                </c:pt>
                <c:pt idx="2">
                  <c:v>7.2847682119205295E-2</c:v>
                </c:pt>
                <c:pt idx="3">
                  <c:v>2.6490066225165559E-2</c:v>
                </c:pt>
                <c:pt idx="4">
                  <c:v>4.6357615894039736E-2</c:v>
                </c:pt>
                <c:pt idx="5">
                  <c:v>9.9337748344370848E-3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65-4D1E-8820-5AF5F5C28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9467999"/>
        <c:axId val="259469919"/>
      </c:barChart>
      <c:catAx>
        <c:axId val="259467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469919"/>
        <c:crosses val="autoZero"/>
        <c:auto val="1"/>
        <c:lblAlgn val="ctr"/>
        <c:lblOffset val="100"/>
        <c:noMultiLvlLbl val="0"/>
      </c:catAx>
      <c:valAx>
        <c:axId val="259469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4679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'1. Vehicle Mix by Area'!$I$2</c:f>
              <c:strCache>
                <c:ptCount val="1"/>
                <c:pt idx="0">
                  <c:v>Country (Normalized)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'1. Vehicle Mix by Area'!$B$3:$B$8</c:f>
              <c:strCache>
                <c:ptCount val="6"/>
                <c:pt idx="0">
                  <c:v>Sedan/SUV</c:v>
                </c:pt>
                <c:pt idx="1">
                  <c:v>Off Road</c:v>
                </c:pt>
                <c:pt idx="2">
                  <c:v>Sport</c:v>
                </c:pt>
                <c:pt idx="3">
                  <c:v>Luxury High Sport</c:v>
                </c:pt>
                <c:pt idx="4">
                  <c:v>Muscle</c:v>
                </c:pt>
                <c:pt idx="5">
                  <c:v>Super Cars</c:v>
                </c:pt>
              </c:strCache>
            </c:strRef>
          </c:cat>
          <c:val>
            <c:numRef>
              <c:f>'1. Vehicle Mix by Area'!$I$3:$I$8</c:f>
              <c:numCache>
                <c:formatCode>0%</c:formatCode>
                <c:ptCount val="6"/>
                <c:pt idx="0">
                  <c:v>0.46620046620046623</c:v>
                </c:pt>
                <c:pt idx="1">
                  <c:v>0.31468531468531474</c:v>
                </c:pt>
                <c:pt idx="2">
                  <c:v>0.10256410256410259</c:v>
                </c:pt>
                <c:pt idx="3">
                  <c:v>3.7296037296037303E-2</c:v>
                </c:pt>
                <c:pt idx="4">
                  <c:v>6.5268065268065278E-2</c:v>
                </c:pt>
                <c:pt idx="5">
                  <c:v>1.3986013986013988E-2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59-48D8-B934-8EE0D25B4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4963631"/>
        <c:axId val="534956431"/>
      </c:barChart>
      <c:catAx>
        <c:axId val="53496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956431"/>
        <c:crosses val="autoZero"/>
        <c:auto val="1"/>
        <c:lblAlgn val="ctr"/>
        <c:lblOffset val="100"/>
        <c:noMultiLvlLbl val="0"/>
      </c:catAx>
      <c:valAx>
        <c:axId val="534956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963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'1. Vehicle Mix by Area'!$K$2</c:f>
              <c:strCache>
                <c:ptCount val="1"/>
                <c:pt idx="0">
                  <c:v>Downtown (Normalized)</c:v>
                </c:pt>
              </c:strCache>
            </c:strRef>
          </c:tx>
          <c:spPr>
            <a:solidFill>
              <a:srgbClr val="F6AC7E"/>
            </a:solidFill>
            <a:ln>
              <a:noFill/>
            </a:ln>
            <a:effectLst/>
          </c:spPr>
          <c:invertIfNegative val="0"/>
          <c:cat>
            <c:strRef>
              <c:f>'1. Vehicle Mix by Area'!$B$3:$B$8</c:f>
              <c:strCache>
                <c:ptCount val="6"/>
                <c:pt idx="0">
                  <c:v>Sedan/SUV</c:v>
                </c:pt>
                <c:pt idx="1">
                  <c:v>Off Road</c:v>
                </c:pt>
                <c:pt idx="2">
                  <c:v>Sport</c:v>
                </c:pt>
                <c:pt idx="3">
                  <c:v>Luxury High Sport</c:v>
                </c:pt>
                <c:pt idx="4">
                  <c:v>Muscle</c:v>
                </c:pt>
                <c:pt idx="5">
                  <c:v>Super Cars</c:v>
                </c:pt>
              </c:strCache>
            </c:strRef>
          </c:cat>
          <c:val>
            <c:numRef>
              <c:f>'1. Vehicle Mix by Area'!$K$3:$K$8</c:f>
              <c:numCache>
                <c:formatCode>0%</c:formatCode>
                <c:ptCount val="6"/>
                <c:pt idx="0">
                  <c:v>0.48899755501222497</c:v>
                </c:pt>
                <c:pt idx="1">
                  <c:v>0.14669926650366746</c:v>
                </c:pt>
                <c:pt idx="2">
                  <c:v>0.24205378973105138</c:v>
                </c:pt>
                <c:pt idx="3">
                  <c:v>3.9119804400977995E-2</c:v>
                </c:pt>
                <c:pt idx="4">
                  <c:v>6.8459657701711502E-2</c:v>
                </c:pt>
                <c:pt idx="5">
                  <c:v>1.466992665036675E-2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4C-4C8B-A334-159874BE4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4849183"/>
        <c:axId val="144848703"/>
      </c:barChart>
      <c:catAx>
        <c:axId val="144849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848703"/>
        <c:crosses val="autoZero"/>
        <c:auto val="1"/>
        <c:lblAlgn val="ctr"/>
        <c:lblOffset val="100"/>
        <c:noMultiLvlLbl val="0"/>
      </c:catAx>
      <c:valAx>
        <c:axId val="144848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84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'1. Vehicle Mix by Area'!$M$2</c:f>
              <c:strCache>
                <c:ptCount val="1"/>
                <c:pt idx="0">
                  <c:v>Vinewood Hills (Normalized)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'1. Vehicle Mix by Area'!$B$3:$B$8</c:f>
              <c:strCache>
                <c:ptCount val="6"/>
                <c:pt idx="0">
                  <c:v>Sedan/SUV</c:v>
                </c:pt>
                <c:pt idx="1">
                  <c:v>Off Road</c:v>
                </c:pt>
                <c:pt idx="2">
                  <c:v>Sport</c:v>
                </c:pt>
                <c:pt idx="3">
                  <c:v>Luxury High Sport</c:v>
                </c:pt>
                <c:pt idx="4">
                  <c:v>Muscle</c:v>
                </c:pt>
                <c:pt idx="5">
                  <c:v>Super Cars</c:v>
                </c:pt>
              </c:strCache>
            </c:strRef>
          </c:cat>
          <c:val>
            <c:numRef>
              <c:f>'1. Vehicle Mix by Area'!$M$3:$M$8</c:f>
              <c:numCache>
                <c:formatCode>0%</c:formatCode>
                <c:ptCount val="6"/>
                <c:pt idx="0">
                  <c:v>0.53475935828876997</c:v>
                </c:pt>
                <c:pt idx="1">
                  <c:v>0.16042780748663099</c:v>
                </c:pt>
                <c:pt idx="2">
                  <c:v>0.11764705882352941</c:v>
                </c:pt>
                <c:pt idx="3">
                  <c:v>9.6256684491978606E-2</c:v>
                </c:pt>
                <c:pt idx="4">
                  <c:v>7.4866310160427801E-2</c:v>
                </c:pt>
                <c:pt idx="5">
                  <c:v>1.60427807486631E-2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B-4FEF-A4BD-517B63980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53292607"/>
        <c:axId val="2053295487"/>
      </c:barChart>
      <c:catAx>
        <c:axId val="2053292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3295487"/>
        <c:crosses val="autoZero"/>
        <c:auto val="1"/>
        <c:lblAlgn val="ctr"/>
        <c:lblOffset val="100"/>
        <c:noMultiLvlLbl val="0"/>
      </c:catAx>
      <c:valAx>
        <c:axId val="2053295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3292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'1. Vehicle Mix by Area'!$O$2</c:f>
              <c:strCache>
                <c:ptCount val="1"/>
                <c:pt idx="0">
                  <c:v>South Side (Normalized)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'1. Vehicle Mix by Area'!$B$3:$B$8</c:f>
              <c:strCache>
                <c:ptCount val="6"/>
                <c:pt idx="0">
                  <c:v>Sedan/SUV</c:v>
                </c:pt>
                <c:pt idx="1">
                  <c:v>Off Road</c:v>
                </c:pt>
                <c:pt idx="2">
                  <c:v>Sport</c:v>
                </c:pt>
                <c:pt idx="3">
                  <c:v>Luxury High Sport</c:v>
                </c:pt>
                <c:pt idx="4">
                  <c:v>Muscle</c:v>
                </c:pt>
                <c:pt idx="5">
                  <c:v>Super Cars</c:v>
                </c:pt>
              </c:strCache>
            </c:strRef>
          </c:cat>
          <c:val>
            <c:numRef>
              <c:f>'1. Vehicle Mix by Area'!$O$3:$O$8</c:f>
              <c:numCache>
                <c:formatCode>0%</c:formatCode>
                <c:ptCount val="6"/>
                <c:pt idx="0">
                  <c:v>0.51413881748071977</c:v>
                </c:pt>
                <c:pt idx="1">
                  <c:v>0.15424164524421594</c:v>
                </c:pt>
                <c:pt idx="2">
                  <c:v>0.11311053984575836</c:v>
                </c:pt>
                <c:pt idx="3">
                  <c:v>4.1131105398457581E-2</c:v>
                </c:pt>
                <c:pt idx="4">
                  <c:v>0.16195372750642675</c:v>
                </c:pt>
                <c:pt idx="5">
                  <c:v>1.5424164524421594E-2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85-425B-B47A-A36E3177F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3810207"/>
        <c:axId val="1403809727"/>
      </c:barChart>
      <c:catAx>
        <c:axId val="1403810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3809727"/>
        <c:crosses val="autoZero"/>
        <c:auto val="1"/>
        <c:lblAlgn val="ctr"/>
        <c:lblOffset val="100"/>
        <c:noMultiLvlLbl val="0"/>
      </c:catAx>
      <c:valAx>
        <c:axId val="1403809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38102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'1. Vehicle Mix by Area'!$Q$2</c:f>
              <c:strCache>
                <c:ptCount val="1"/>
                <c:pt idx="0">
                  <c:v>Rockford Hills (Normalized)</c:v>
                </c:pt>
              </c:strCache>
            </c:strRef>
          </c:tx>
          <c:spPr>
            <a:solidFill>
              <a:srgbClr val="F9F18F"/>
            </a:solidFill>
            <a:ln>
              <a:noFill/>
            </a:ln>
            <a:effectLst/>
          </c:spPr>
          <c:invertIfNegative val="0"/>
          <c:cat>
            <c:strRef>
              <c:f>'1. Vehicle Mix by Area'!$B$3:$B$8</c:f>
              <c:strCache>
                <c:ptCount val="6"/>
                <c:pt idx="0">
                  <c:v>Sedan/SUV</c:v>
                </c:pt>
                <c:pt idx="1">
                  <c:v>Off Road</c:v>
                </c:pt>
                <c:pt idx="2">
                  <c:v>Sport</c:v>
                </c:pt>
                <c:pt idx="3">
                  <c:v>Luxury High Sport</c:v>
                </c:pt>
                <c:pt idx="4">
                  <c:v>Muscle</c:v>
                </c:pt>
                <c:pt idx="5">
                  <c:v>Super Cars</c:v>
                </c:pt>
              </c:strCache>
            </c:strRef>
          </c:cat>
          <c:val>
            <c:numRef>
              <c:f>'1. Vehicle Mix by Area'!$Q$3:$Q$8</c:f>
              <c:numCache>
                <c:formatCode>0%</c:formatCode>
                <c:ptCount val="6"/>
                <c:pt idx="0">
                  <c:v>0.55325034578146615</c:v>
                </c:pt>
                <c:pt idx="1">
                  <c:v>0.1659751037344398</c:v>
                </c:pt>
                <c:pt idx="2">
                  <c:v>0.12171507607192256</c:v>
                </c:pt>
                <c:pt idx="3">
                  <c:v>4.4260027662517284E-2</c:v>
                </c:pt>
                <c:pt idx="4">
                  <c:v>7.7455048409405258E-2</c:v>
                </c:pt>
                <c:pt idx="5">
                  <c:v>3.7344398340248962E-2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2A-466A-9588-9231D16C44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27118671"/>
        <c:axId val="527120591"/>
      </c:barChart>
      <c:catAx>
        <c:axId val="527118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7120591"/>
        <c:crosses val="autoZero"/>
        <c:auto val="1"/>
        <c:lblAlgn val="ctr"/>
        <c:lblOffset val="100"/>
        <c:noMultiLvlLbl val="0"/>
      </c:catAx>
      <c:valAx>
        <c:axId val="527120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7118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Impact on mission distribution compared to challenge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 Mission Difficulty'!$G$46</c:f>
              <c:strCache>
                <c:ptCount val="1"/>
                <c:pt idx="0">
                  <c:v>Mission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'2. Mission Difficulty'!$F$47:$F$52</c:f>
              <c:strCache>
                <c:ptCount val="6"/>
                <c:pt idx="0">
                  <c:v>Freeway</c:v>
                </c:pt>
                <c:pt idx="1">
                  <c:v>Country</c:v>
                </c:pt>
                <c:pt idx="2">
                  <c:v>Downtown</c:v>
                </c:pt>
                <c:pt idx="3">
                  <c:v>Vinewood Hills</c:v>
                </c:pt>
                <c:pt idx="4">
                  <c:v>South Side</c:v>
                </c:pt>
                <c:pt idx="5">
                  <c:v>Rockford Hills</c:v>
                </c:pt>
              </c:strCache>
            </c:strRef>
          </c:cat>
          <c:val>
            <c:numRef>
              <c:f>'2. Mission Difficulty'!$G$47:$G$52</c:f>
              <c:numCache>
                <c:formatCode>0%</c:formatCode>
                <c:ptCount val="6"/>
                <c:pt idx="0">
                  <c:v>0</c:v>
                </c:pt>
                <c:pt idx="1">
                  <c:v>0.41379310344827586</c:v>
                </c:pt>
                <c:pt idx="2">
                  <c:v>0.2413793103448276</c:v>
                </c:pt>
                <c:pt idx="3">
                  <c:v>0.17241379310344829</c:v>
                </c:pt>
                <c:pt idx="4">
                  <c:v>0.1206896551724138</c:v>
                </c:pt>
                <c:pt idx="5">
                  <c:v>5.1724137931034482E-2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C4-4539-A7ED-D5D3059D818A}"/>
            </c:ext>
          </c:extLst>
        </c:ser>
        <c:ser>
          <c:idx val="1"/>
          <c:order val="1"/>
          <c:tx>
            <c:strRef>
              <c:f>'2. Mission Difficulty'!$H$46</c:f>
              <c:strCache>
                <c:ptCount val="1"/>
                <c:pt idx="0">
                  <c:v>Weighted Impact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'2. Mission Difficulty'!$F$47:$F$52</c:f>
              <c:strCache>
                <c:ptCount val="6"/>
                <c:pt idx="0">
                  <c:v>Freeway</c:v>
                </c:pt>
                <c:pt idx="1">
                  <c:v>Country</c:v>
                </c:pt>
                <c:pt idx="2">
                  <c:v>Downtown</c:v>
                </c:pt>
                <c:pt idx="3">
                  <c:v>Vinewood Hills</c:v>
                </c:pt>
                <c:pt idx="4">
                  <c:v>South Side</c:v>
                </c:pt>
                <c:pt idx="5">
                  <c:v>Rockford Hills</c:v>
                </c:pt>
              </c:strCache>
            </c:strRef>
          </c:cat>
          <c:val>
            <c:numRef>
              <c:f>'2. Mission Difficulty'!$H$47:$H$52</c:f>
              <c:numCache>
                <c:formatCode>0%</c:formatCode>
                <c:ptCount val="6"/>
                <c:pt idx="0">
                  <c:v>0</c:v>
                </c:pt>
                <c:pt idx="1">
                  <c:v>0.54651555341210512</c:v>
                </c:pt>
                <c:pt idx="2">
                  <c:v>0.33084900092740921</c:v>
                </c:pt>
                <c:pt idx="3">
                  <c:v>0.23308132030241563</c:v>
                </c:pt>
                <c:pt idx="4">
                  <c:v>0.16167449694176048</c:v>
                </c:pt>
                <c:pt idx="5">
                  <c:v>6.883674345399915E-2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C4-4539-A7ED-D5D3059D8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9561471"/>
        <c:axId val="1765263103"/>
      </c:barChart>
      <c:catAx>
        <c:axId val="1769561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5263103"/>
        <c:crosses val="autoZero"/>
        <c:auto val="1"/>
        <c:lblAlgn val="ctr"/>
        <c:lblOffset val="100"/>
        <c:noMultiLvlLbl val="0"/>
      </c:catAx>
      <c:valAx>
        <c:axId val="1765263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95614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Day</a:t>
            </a:r>
            <a:r>
              <a:rPr lang="en-CA" baseline="0"/>
              <a:t> and Night Difficulty from locations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 Day vs Night'!$G$27</c:f>
              <c:strCache>
                <c:ptCount val="1"/>
                <c:pt idx="0">
                  <c:v>Final Day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'3. Day vs Night'!$B$28:$B$33</c:f>
              <c:strCache>
                <c:ptCount val="6"/>
                <c:pt idx="0">
                  <c:v>Freeway</c:v>
                </c:pt>
                <c:pt idx="1">
                  <c:v>Country</c:v>
                </c:pt>
                <c:pt idx="2">
                  <c:v>Downtown</c:v>
                </c:pt>
                <c:pt idx="3">
                  <c:v>Vinewood</c:v>
                </c:pt>
                <c:pt idx="4">
                  <c:v>South</c:v>
                </c:pt>
                <c:pt idx="5">
                  <c:v>Rockford</c:v>
                </c:pt>
              </c:strCache>
            </c:strRef>
          </c:cat>
          <c:val>
            <c:numRef>
              <c:f>'3. Day vs Night'!$G$28:$G$33</c:f>
              <c:numCache>
                <c:formatCode>_(* #,##0.00_);_(* \(#,##0.00\);_(* "-"??_);_(@_)</c:formatCode>
                <c:ptCount val="6"/>
                <c:pt idx="0">
                  <c:v>1.1592067988668557</c:v>
                </c:pt>
                <c:pt idx="1">
                  <c:v>1.4940725806451607</c:v>
                </c:pt>
                <c:pt idx="2">
                  <c:v>1.7410412147505425</c:v>
                </c:pt>
                <c:pt idx="3">
                  <c:v>1.6502347417840371</c:v>
                </c:pt>
                <c:pt idx="4">
                  <c:v>1.7690816326530618</c:v>
                </c:pt>
                <c:pt idx="5">
                  <c:v>1.691100362756953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58-4DF1-8024-DE03A57B9E74}"/>
            </c:ext>
          </c:extLst>
        </c:ser>
        <c:ser>
          <c:idx val="1"/>
          <c:order val="1"/>
          <c:tx>
            <c:strRef>
              <c:f>'3. Day vs Night'!$H$27</c:f>
              <c:strCache>
                <c:ptCount val="1"/>
                <c:pt idx="0">
                  <c:v>Final Night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'3. Day vs Night'!$B$28:$B$33</c:f>
              <c:strCache>
                <c:ptCount val="6"/>
                <c:pt idx="0">
                  <c:v>Freeway</c:v>
                </c:pt>
                <c:pt idx="1">
                  <c:v>Country</c:v>
                </c:pt>
                <c:pt idx="2">
                  <c:v>Downtown</c:v>
                </c:pt>
                <c:pt idx="3">
                  <c:v>Vinewood</c:v>
                </c:pt>
                <c:pt idx="4">
                  <c:v>South</c:v>
                </c:pt>
                <c:pt idx="5">
                  <c:v>Rockford</c:v>
                </c:pt>
              </c:strCache>
            </c:strRef>
          </c:cat>
          <c:val>
            <c:numRef>
              <c:f>'3. Day vs Night'!$H$28:$H$33</c:f>
              <c:numCache>
                <c:formatCode>_(* #,##0.00_);_(* \(#,##0.00\);_(* "-"??_);_(@_)</c:formatCode>
                <c:ptCount val="6"/>
                <c:pt idx="0">
                  <c:v>1.1996146435452792</c:v>
                </c:pt>
                <c:pt idx="1">
                  <c:v>1.0824175971415808</c:v>
                </c:pt>
                <c:pt idx="2">
                  <c:v>1.733503190519599</c:v>
                </c:pt>
                <c:pt idx="3">
                  <c:v>1.5591229838709681</c:v>
                </c:pt>
                <c:pt idx="4">
                  <c:v>1.4802352941176473</c:v>
                </c:pt>
                <c:pt idx="5">
                  <c:v>1.4178648507071767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58-4DF1-8024-DE03A57B9E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4614991"/>
        <c:axId val="142545999"/>
      </c:barChart>
      <c:catAx>
        <c:axId val="144614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545999"/>
        <c:crosses val="autoZero"/>
        <c:auto val="1"/>
        <c:lblAlgn val="ctr"/>
        <c:lblOffset val="100"/>
        <c:noMultiLvlLbl val="0"/>
      </c:catAx>
      <c:valAx>
        <c:axId val="142545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6149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3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eddit.com/r/GTA/comments/hfaxh6/this_is_a_map_of_the_spawning_density_of_npcs_in/" TargetMode="External"/><Relationship Id="rId2" Type="http://schemas.openxmlformats.org/officeDocument/2006/relationships/chart" Target="../charts/chart8.xml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26</xdr:row>
      <xdr:rowOff>57150</xdr:rowOff>
    </xdr:from>
    <xdr:to>
      <xdr:col>2</xdr:col>
      <xdr:colOff>3352800</xdr:colOff>
      <xdr:row>36</xdr:row>
      <xdr:rowOff>68580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58BCF0-7261-611D-1881-10A0906439F7}"/>
            </a:ext>
          </a:extLst>
        </xdr:cNvPr>
        <xdr:cNvSpPr txBox="1"/>
      </xdr:nvSpPr>
      <xdr:spPr>
        <a:xfrm>
          <a:off x="514350" y="6362700"/>
          <a:ext cx="3505200" cy="1821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tool looks at how GTA V's vehicle traffic and population shape the driving challenge of the overall</a:t>
          </a:r>
          <a:r>
            <a:rPr lang="en-CA" sz="14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vehicle progression, and the </a:t>
          </a:r>
          <a:r>
            <a:rPr lang="en-CA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Strangers &amp; Freaks side missions. It estimates which vehicle types show up in each of six map areas, gives each type a manoeuvre difficulty, and combines that with crowd levels and how the 58 missions are spread across the map.</a:t>
          </a:r>
          <a:endParaRPr lang="en-CA" sz="1400" i="0"/>
        </a:p>
      </xdr:txBody>
    </xdr:sp>
    <xdr:clientData/>
  </xdr:twoCellAnchor>
  <xdr:twoCellAnchor>
    <xdr:from>
      <xdr:col>2</xdr:col>
      <xdr:colOff>3724275</xdr:colOff>
      <xdr:row>26</xdr:row>
      <xdr:rowOff>53340</xdr:rowOff>
    </xdr:from>
    <xdr:to>
      <xdr:col>2</xdr:col>
      <xdr:colOff>7044690</xdr:colOff>
      <xdr:row>33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3389FF5-4AD9-FFA9-1FD8-4A621371D360}"/>
            </a:ext>
          </a:extLst>
        </xdr:cNvPr>
        <xdr:cNvSpPr txBox="1"/>
      </xdr:nvSpPr>
      <xdr:spPr>
        <a:xfrm>
          <a:off x="4391025" y="6358890"/>
          <a:ext cx="3320415" cy="1228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result is a challenge score for each area, by day and by night. Comparing the scores shows where the hardest driving is and whether doing missions at night makes them easier. </a:t>
          </a:r>
          <a:endParaRPr lang="en-CA" sz="1400" i="0"/>
        </a:p>
      </xdr:txBody>
    </xdr:sp>
    <xdr:clientData/>
  </xdr:twoCellAnchor>
  <xdr:twoCellAnchor>
    <xdr:from>
      <xdr:col>2</xdr:col>
      <xdr:colOff>3720465</xdr:colOff>
      <xdr:row>34</xdr:row>
      <xdr:rowOff>93345</xdr:rowOff>
    </xdr:from>
    <xdr:to>
      <xdr:col>2</xdr:col>
      <xdr:colOff>7044690</xdr:colOff>
      <xdr:row>41</xdr:row>
      <xdr:rowOff>53340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A5907B4-F419-6F24-ABC9-778645D9616B}"/>
            </a:ext>
          </a:extLst>
        </xdr:cNvPr>
        <xdr:cNvSpPr txBox="1"/>
      </xdr:nvSpPr>
      <xdr:spPr>
        <a:xfrm>
          <a:off x="4387215" y="7846695"/>
          <a:ext cx="3324225" cy="1226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 turns a gut feeling ("night feels easier") into numbers that can be tested and changed, so designers can see how spawn weights, population density and mission placement shape the player's experience.</a:t>
          </a:r>
          <a:endParaRPr lang="en-CA" sz="1400" i="0"/>
        </a:p>
      </xdr:txBody>
    </xdr:sp>
    <xdr:clientData/>
  </xdr:twoCellAnchor>
  <xdr:twoCellAnchor>
    <xdr:from>
      <xdr:col>1</xdr:col>
      <xdr:colOff>316230</xdr:colOff>
      <xdr:row>37</xdr:row>
      <xdr:rowOff>95250</xdr:rowOff>
    </xdr:from>
    <xdr:to>
      <xdr:col>2</xdr:col>
      <xdr:colOff>3295650</xdr:colOff>
      <xdr:row>43</xdr:row>
      <xdr:rowOff>5715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D828E6D-842F-F04B-1F87-9B972A27BF17}"/>
            </a:ext>
          </a:extLst>
        </xdr:cNvPr>
        <xdr:cNvSpPr txBox="1"/>
      </xdr:nvSpPr>
      <xdr:spPr>
        <a:xfrm>
          <a:off x="621030" y="8391525"/>
          <a:ext cx="3341370" cy="9963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6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inputs are estimates kept on the Assumptions sheet, so the model can be adjusted as better data comes in.</a:t>
          </a:r>
          <a:endParaRPr lang="en-CA" sz="1600" b="1"/>
        </a:p>
      </xdr:txBody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125730</xdr:rowOff>
    </xdr:to>
    <xdr:sp macro="" textlink="">
      <xdr:nvSpPr>
        <xdr:cNvPr id="5121" name="AutoShape 1" descr="Grand Theft Auto V - Wikipedia">
          <a:extLst>
            <a:ext uri="{FF2B5EF4-FFF2-40B4-BE49-F238E27FC236}">
              <a16:creationId xmlns:a16="http://schemas.microsoft.com/office/drawing/2014/main" id="{CFD2FDB0-A87E-74C0-CA91-0A18696AA2D4}"/>
            </a:ext>
          </a:extLst>
        </xdr:cNvPr>
        <xdr:cNvSpPr>
          <a:spLocks noChangeAspect="1" noChangeArrowheads="1"/>
        </xdr:cNvSpPr>
      </xdr:nvSpPr>
      <xdr:spPr bwMode="auto">
        <a:xfrm>
          <a:off x="662940" y="9494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190824</xdr:colOff>
      <xdr:row>4</xdr:row>
      <xdr:rowOff>211412</xdr:rowOff>
    </xdr:from>
    <xdr:to>
      <xdr:col>9</xdr:col>
      <xdr:colOff>567690</xdr:colOff>
      <xdr:row>22</xdr:row>
      <xdr:rowOff>38101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79DF382-9C54-038D-BB1E-BC86C0888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1174" y="1230587"/>
          <a:ext cx="3424866" cy="4255814"/>
        </a:xfrm>
        <a:prstGeom prst="rect">
          <a:avLst/>
        </a:prstGeom>
      </xdr:spPr>
    </xdr:pic>
    <xdr:clientData/>
  </xdr:twoCellAnchor>
  <xdr:twoCellAnchor editAs="oneCell">
    <xdr:from>
      <xdr:col>2</xdr:col>
      <xdr:colOff>7778115</xdr:colOff>
      <xdr:row>24</xdr:row>
      <xdr:rowOff>129540</xdr:rowOff>
    </xdr:from>
    <xdr:to>
      <xdr:col>9</xdr:col>
      <xdr:colOff>579026</xdr:colOff>
      <xdr:row>41</xdr:row>
      <xdr:rowOff>177165</xdr:rowOff>
    </xdr:to>
    <xdr:pic>
      <xdr:nvPicPr>
        <xdr:cNvPr id="7" name="Picture 6" descr="Grand Theft Auto V is available for free on Xbox and PC until April 15">
          <a:extLst>
            <a:ext uri="{FF2B5EF4-FFF2-40B4-BE49-F238E27FC236}">
              <a16:creationId xmlns:a16="http://schemas.microsoft.com/office/drawing/2014/main" id="{7C09C12F-DDEC-6BC9-BE92-BCF5A1FF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4865" y="6073140"/>
          <a:ext cx="5602511" cy="312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598169</xdr:colOff>
      <xdr:row>13</xdr:row>
      <xdr:rowOff>16192</xdr:rowOff>
    </xdr:from>
    <xdr:to>
      <xdr:col>3</xdr:col>
      <xdr:colOff>923924</xdr:colOff>
      <xdr:row>19</xdr:row>
      <xdr:rowOff>56035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FC38FE6-90A4-F80B-C6B1-FB4BC31B2014}"/>
            </a:ext>
          </a:extLst>
        </xdr:cNvPr>
        <xdr:cNvSpPr txBox="1"/>
      </xdr:nvSpPr>
      <xdr:spPr>
        <a:xfrm>
          <a:off x="598169" y="4492942"/>
          <a:ext cx="2887980" cy="11256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/>
            <a:t>Assumption: Each vehicle type gets a 1.5× spawn boost in its priority area, and every other type in that area gets 0.67× (1 ÷ 1.5), an effective 2.25× relative boost.
All inputs are on the Assumptions sheet.</a:t>
          </a:r>
        </a:p>
      </xdr:txBody>
    </xdr:sp>
    <xdr:clientData/>
  </xdr:twoCellAnchor>
  <xdr:twoCellAnchor>
    <xdr:from>
      <xdr:col>1</xdr:col>
      <xdr:colOff>8282</xdr:colOff>
      <xdr:row>23</xdr:row>
      <xdr:rowOff>10188</xdr:rowOff>
    </xdr:from>
    <xdr:to>
      <xdr:col>3</xdr:col>
      <xdr:colOff>931462</xdr:colOff>
      <xdr:row>26</xdr:row>
      <xdr:rowOff>76276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A959504-F407-7FD6-F580-F9D89ACF6834}"/>
            </a:ext>
          </a:extLst>
        </xdr:cNvPr>
        <xdr:cNvSpPr txBox="1"/>
      </xdr:nvSpPr>
      <xdr:spPr>
        <a:xfrm>
          <a:off x="617882" y="6296688"/>
          <a:ext cx="2875805" cy="6090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/>
            <a:t>Normalising: Each multiplied value is divided by its area's column total, so every area's vehicle mix sums to 100%.</a:t>
          </a:r>
        </a:p>
      </xdr:txBody>
    </xdr:sp>
    <xdr:clientData/>
  </xdr:twoCellAnchor>
  <xdr:twoCellAnchor>
    <xdr:from>
      <xdr:col>17</xdr:col>
      <xdr:colOff>415290</xdr:colOff>
      <xdr:row>1</xdr:row>
      <xdr:rowOff>224790</xdr:rowOff>
    </xdr:from>
    <xdr:to>
      <xdr:col>21</xdr:col>
      <xdr:colOff>438150</xdr:colOff>
      <xdr:row>4</xdr:row>
      <xdr:rowOff>85725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7DB6667-EBD9-8834-D7F1-93BDE15F0FF2}"/>
            </a:ext>
          </a:extLst>
        </xdr:cNvPr>
        <xdr:cNvSpPr txBox="1"/>
      </xdr:nvSpPr>
      <xdr:spPr>
        <a:xfrm>
          <a:off x="16903065" y="405765"/>
          <a:ext cx="2461260" cy="11753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What is the distribution of vehicle types per location on the map?</a:t>
          </a:r>
        </a:p>
      </xdr:txBody>
    </xdr:sp>
    <xdr:clientData/>
  </xdr:twoCellAnchor>
  <xdr:twoCellAnchor editAs="oneCell">
    <xdr:from>
      <xdr:col>4</xdr:col>
      <xdr:colOff>619125</xdr:colOff>
      <xdr:row>11</xdr:row>
      <xdr:rowOff>95250</xdr:rowOff>
    </xdr:from>
    <xdr:to>
      <xdr:col>10</xdr:col>
      <xdr:colOff>600075</xdr:colOff>
      <xdr:row>42</xdr:row>
      <xdr:rowOff>95250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97378F1-5ECE-EC03-8140-5CD2A8CC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210050"/>
          <a:ext cx="5953125" cy="5610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897255</xdr:colOff>
      <xdr:row>11</xdr:row>
      <xdr:rowOff>105727</xdr:rowOff>
    </xdr:from>
    <xdr:to>
      <xdr:col>15</xdr:col>
      <xdr:colOff>607695</xdr:colOff>
      <xdr:row>26</xdr:row>
      <xdr:rowOff>134302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B5324E4-476F-B085-9AFA-4D5C1FDA2A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944880</xdr:colOff>
      <xdr:row>27</xdr:row>
      <xdr:rowOff>172402</xdr:rowOff>
    </xdr:from>
    <xdr:to>
      <xdr:col>15</xdr:col>
      <xdr:colOff>655320</xdr:colOff>
      <xdr:row>43</xdr:row>
      <xdr:rowOff>20002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4DBA434B-8019-242A-870F-CD8A46C9A7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954405</xdr:colOff>
      <xdr:row>11</xdr:row>
      <xdr:rowOff>96202</xdr:rowOff>
    </xdr:from>
    <xdr:to>
      <xdr:col>22</xdr:col>
      <xdr:colOff>531495</xdr:colOff>
      <xdr:row>26</xdr:row>
      <xdr:rowOff>124777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2652F5DB-3078-AC06-C46F-799EB2DFF9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49530</xdr:colOff>
      <xdr:row>28</xdr:row>
      <xdr:rowOff>29527</xdr:rowOff>
    </xdr:from>
    <xdr:to>
      <xdr:col>22</xdr:col>
      <xdr:colOff>598170</xdr:colOff>
      <xdr:row>43</xdr:row>
      <xdr:rowOff>58102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688F6EB-C401-C02B-03BE-FA0EDF805C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23</xdr:col>
      <xdr:colOff>196215</xdr:colOff>
      <xdr:row>11</xdr:row>
      <xdr:rowOff>96202</xdr:rowOff>
    </xdr:from>
    <xdr:to>
      <xdr:col>30</xdr:col>
      <xdr:colOff>504825</xdr:colOff>
      <xdr:row>26</xdr:row>
      <xdr:rowOff>124777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921204D-9E8E-497C-DB29-8CC6871BCA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23</xdr:col>
      <xdr:colOff>340995</xdr:colOff>
      <xdr:row>28</xdr:row>
      <xdr:rowOff>96202</xdr:rowOff>
    </xdr:from>
    <xdr:to>
      <xdr:col>31</xdr:col>
      <xdr:colOff>40005</xdr:colOff>
      <xdr:row>43</xdr:row>
      <xdr:rowOff>124777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721090B0-B5AD-2851-2E7B-1E9AEF27C4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17</xdr:col>
      <xdr:colOff>445770</xdr:colOff>
      <xdr:row>5</xdr:row>
      <xdr:rowOff>49530</xdr:rowOff>
    </xdr:from>
    <xdr:to>
      <xdr:col>22</xdr:col>
      <xdr:colOff>228600</xdr:colOff>
      <xdr:row>7</xdr:row>
      <xdr:rowOff>126696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BD8127B-72C0-EAAC-0F6F-39CE895F108D}"/>
            </a:ext>
          </a:extLst>
        </xdr:cNvPr>
        <xdr:cNvSpPr txBox="1"/>
      </xdr:nvSpPr>
      <xdr:spPr>
        <a:xfrm>
          <a:off x="16933545" y="1983105"/>
          <a:ext cx="2830830" cy="953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/>
            <a:t>Finding: Sedans/SUVs are the largest share in every area (47–75%), even where another type is prioritised. They start with 56% of the spawn weight, and a 2.25× boost isn't enough for other types to overtake them.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220612</xdr:colOff>
      <xdr:row>1</xdr:row>
      <xdr:rowOff>158625</xdr:rowOff>
    </xdr:from>
    <xdr:to>
      <xdr:col>11</xdr:col>
      <xdr:colOff>362533</xdr:colOff>
      <xdr:row>22</xdr:row>
      <xdr:rowOff>134369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C7BC25-9713-FC18-42E9-2E63DFCE8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0308" y="340842"/>
          <a:ext cx="3927735" cy="3788975"/>
        </a:xfrm>
        <a:prstGeom prst="rect">
          <a:avLst/>
        </a:prstGeom>
      </xdr:spPr>
    </xdr:pic>
    <xdr:clientData/>
  </xdr:twoCellAnchor>
  <xdr:twoCellAnchor>
    <xdr:from>
      <xdr:col>1</xdr:col>
      <xdr:colOff>274387</xdr:colOff>
      <xdr:row>28</xdr:row>
      <xdr:rowOff>181384</xdr:rowOff>
    </xdr:from>
    <xdr:to>
      <xdr:col>4</xdr:col>
      <xdr:colOff>325005</xdr:colOff>
      <xdr:row>31</xdr:row>
      <xdr:rowOff>217189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D7F69AE-F391-B585-AE3F-3A620966C5CE}"/>
            </a:ext>
          </a:extLst>
        </xdr:cNvPr>
        <xdr:cNvSpPr txBox="1"/>
      </xdr:nvSpPr>
      <xdr:spPr>
        <a:xfrm>
          <a:off x="887300" y="5888101"/>
          <a:ext cx="1781683" cy="781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/>
            <a:t>How challenging is each area to complete, given the number of missions and the vehicle mix?</a:t>
          </a:r>
        </a:p>
      </xdr:txBody>
    </xdr:sp>
    <xdr:clientData/>
  </xdr:twoCellAnchor>
  <xdr:twoCellAnchor>
    <xdr:from>
      <xdr:col>1</xdr:col>
      <xdr:colOff>173273</xdr:colOff>
      <xdr:row>2</xdr:row>
      <xdr:rowOff>29320</xdr:rowOff>
    </xdr:from>
    <xdr:to>
      <xdr:col>5</xdr:col>
      <xdr:colOff>331305</xdr:colOff>
      <xdr:row>8</xdr:row>
      <xdr:rowOff>33131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DE2DAED-3045-FB54-8AD5-14025992E9E5}"/>
            </a:ext>
          </a:extLst>
        </xdr:cNvPr>
        <xdr:cNvSpPr txBox="1"/>
      </xdr:nvSpPr>
      <xdr:spPr>
        <a:xfrm>
          <a:off x="786186" y="393755"/>
          <a:ext cx="2502010" cy="10971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600"/>
            <a:t>How do maneuver difficulty and mission distribution make a location harder or easier?</a:t>
          </a:r>
        </a:p>
      </xdr:txBody>
    </xdr:sp>
    <xdr:clientData/>
  </xdr:twoCellAnchor>
  <xdr:twoCellAnchor>
    <xdr:from>
      <xdr:col>9</xdr:col>
      <xdr:colOff>519237</xdr:colOff>
      <xdr:row>39</xdr:row>
      <xdr:rowOff>180313</xdr:rowOff>
    </xdr:from>
    <xdr:to>
      <xdr:col>12</xdr:col>
      <xdr:colOff>567691</xdr:colOff>
      <xdr:row>46</xdr:row>
      <xdr:rowOff>28579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79DFE80-9CEA-F733-E225-1F3C8A917FA7}"/>
            </a:ext>
          </a:extLst>
        </xdr:cNvPr>
        <xdr:cNvSpPr txBox="1"/>
      </xdr:nvSpPr>
      <xdr:spPr>
        <a:xfrm>
          <a:off x="6946541" y="9175226"/>
          <a:ext cx="1978302" cy="11237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/>
            <a:t>Vehicle mix alone: Downtown (1.37) and Vinewood Hills (1.35) score highest, but every area falls between 1.18 and 1.37, so vehicles barely separate the areas.</a:t>
          </a:r>
        </a:p>
      </xdr:txBody>
    </xdr:sp>
    <xdr:clientData/>
  </xdr:twoCellAnchor>
  <xdr:twoCellAnchor>
    <xdr:from>
      <xdr:col>13</xdr:col>
      <xdr:colOff>54747</xdr:colOff>
      <xdr:row>39</xdr:row>
      <xdr:rowOff>6378</xdr:rowOff>
    </xdr:from>
    <xdr:to>
      <xdr:col>16</xdr:col>
      <xdr:colOff>649853</xdr:colOff>
      <xdr:row>46</xdr:row>
      <xdr:rowOff>30680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236E5C4-6A2B-B4DD-98AD-54223EA20E04}"/>
            </a:ext>
          </a:extLst>
        </xdr:cNvPr>
        <xdr:cNvSpPr txBox="1"/>
      </xdr:nvSpPr>
      <xdr:spPr>
        <a:xfrm>
          <a:off x="9115921" y="9001291"/>
          <a:ext cx="2707171" cy="12998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/>
            <a:t>Finding: Weighted Impact closely tracks mission share. Country scores highest because it hosts the most missions (41%), not because its roads are harder. Designers may have placed most Strangers &amp; Freaks missions in easier-to-drive areas so traffic doesn't dominate the experience.</a:t>
          </a:r>
        </a:p>
      </xdr:txBody>
    </xdr:sp>
    <xdr:clientData/>
  </xdr:twoCellAnchor>
  <xdr:twoCellAnchor>
    <xdr:from>
      <xdr:col>12</xdr:col>
      <xdr:colOff>324265</xdr:colOff>
      <xdr:row>5</xdr:row>
      <xdr:rowOff>98231</xdr:rowOff>
    </xdr:from>
    <xdr:to>
      <xdr:col>18</xdr:col>
      <xdr:colOff>664514</xdr:colOff>
      <xdr:row>20</xdr:row>
      <xdr:rowOff>110075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539F88B-F939-1A04-EC0C-C505FB11B6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0</xdr:rowOff>
    </xdr:from>
    <xdr:to>
      <xdr:col>6</xdr:col>
      <xdr:colOff>389474</xdr:colOff>
      <xdr:row>5</xdr:row>
      <xdr:rowOff>32689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AA70FB-BB2B-4132-956B-8BE2E276427F}"/>
            </a:ext>
          </a:extLst>
        </xdr:cNvPr>
        <xdr:cNvSpPr txBox="1"/>
      </xdr:nvSpPr>
      <xdr:spPr>
        <a:xfrm>
          <a:off x="628650" y="180975"/>
          <a:ext cx="3989924" cy="9375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800"/>
            <a:t>As a player, what's the best strategy for travelling between missions while avoiding traffic?</a:t>
          </a:r>
        </a:p>
      </xdr:txBody>
    </xdr:sp>
    <xdr:clientData/>
  </xdr:twoCellAnchor>
  <xdr:twoCellAnchor editAs="oneCell">
    <xdr:from>
      <xdr:col>15</xdr:col>
      <xdr:colOff>226791</xdr:colOff>
      <xdr:row>2</xdr:row>
      <xdr:rowOff>81068</xdr:rowOff>
    </xdr:from>
    <xdr:to>
      <xdr:col>25</xdr:col>
      <xdr:colOff>495861</xdr:colOff>
      <xdr:row>17</xdr:row>
      <xdr:rowOff>16429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ECA19D-A459-96ED-0080-CCC5BDDF4B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1" t="17883" r="6699" b="13409"/>
        <a:stretch>
          <a:fillRect/>
        </a:stretch>
      </xdr:blipFill>
      <xdr:spPr bwMode="auto">
        <a:xfrm>
          <a:off x="13611487" y="445503"/>
          <a:ext cx="6091744" cy="3426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243988</xdr:colOff>
      <xdr:row>12</xdr:row>
      <xdr:rowOff>54511</xdr:rowOff>
    </xdr:from>
    <xdr:to>
      <xdr:col>14</xdr:col>
      <xdr:colOff>1333500</xdr:colOff>
      <xdr:row>15</xdr:row>
      <xdr:rowOff>455527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475F086-918F-19A3-A671-13D6E94D6603}"/>
            </a:ext>
          </a:extLst>
        </xdr:cNvPr>
        <xdr:cNvSpPr txBox="1"/>
      </xdr:nvSpPr>
      <xdr:spPr>
        <a:xfrm>
          <a:off x="11407288" y="2407186"/>
          <a:ext cx="1965812" cy="953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/>
            <a:t>Population density adds challenge: more pedestrians means more maneuvering and a higher chance of a police wanted level.</a:t>
          </a:r>
        </a:p>
      </xdr:txBody>
    </xdr:sp>
    <xdr:clientData/>
  </xdr:twoCellAnchor>
  <xdr:twoCellAnchor>
    <xdr:from>
      <xdr:col>15</xdr:col>
      <xdr:colOff>412115</xdr:colOff>
      <xdr:row>34</xdr:row>
      <xdr:rowOff>141605</xdr:rowOff>
    </xdr:from>
    <xdr:to>
      <xdr:col>19</xdr:col>
      <xdr:colOff>310515</xdr:colOff>
      <xdr:row>39</xdr:row>
      <xdr:rowOff>192878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AE5BB4B-1C36-4327-5CEF-A9F7B6F7C6E4}"/>
            </a:ext>
          </a:extLst>
        </xdr:cNvPr>
        <xdr:cNvSpPr txBox="1"/>
      </xdr:nvSpPr>
      <xdr:spPr>
        <a:xfrm>
          <a:off x="13937615" y="7409180"/>
          <a:ext cx="2032000" cy="11371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/>
            <a:t>At base assumptions, night missions score 14.6% lower on the challenge index than daytime missions.</a:t>
          </a:r>
        </a:p>
      </xdr:txBody>
    </xdr:sp>
    <xdr:clientData/>
  </xdr:twoCellAnchor>
  <xdr:twoCellAnchor>
    <xdr:from>
      <xdr:col>0</xdr:col>
      <xdr:colOff>321212</xdr:colOff>
      <xdr:row>35</xdr:row>
      <xdr:rowOff>161925</xdr:rowOff>
    </xdr:from>
    <xdr:to>
      <xdr:col>5</xdr:col>
      <xdr:colOff>325022</xdr:colOff>
      <xdr:row>45</xdr:row>
      <xdr:rowOff>104438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CD1711C-DB93-D987-5485-CCA6D5F5C05B}"/>
            </a:ext>
          </a:extLst>
        </xdr:cNvPr>
        <xdr:cNvSpPr txBox="1"/>
      </xdr:nvSpPr>
      <xdr:spPr>
        <a:xfrm>
          <a:off x="321212" y="7610475"/>
          <a:ext cx="3509010" cy="21523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CA" sz="1100"/>
            <a:t>Conclusion: Taking vehicle mix, mission distribution, population density and time of day together, Strangers &amp; Freaks missions are easier at night (≈15% lower challenge index).
The night vehicle mix is actually harder (more sport, muscle and super cars), but the lower night-time population balances</a:t>
          </a:r>
          <a:r>
            <a:rPr lang="en-CA" sz="1100" baseline="0"/>
            <a:t> it out so it's easier to travel.</a:t>
          </a:r>
          <a:r>
            <a:rPr lang="en-CA" sz="1100"/>
            <a:t>
This depends on the assumed night drop. If night population stays above ~96% of daytime, night becomes harder.</a:t>
          </a:r>
        </a:p>
      </xdr:txBody>
    </xdr:sp>
    <xdr:clientData/>
  </xdr:twoCellAnchor>
  <xdr:twoCellAnchor>
    <xdr:from>
      <xdr:col>0</xdr:col>
      <xdr:colOff>321310</xdr:colOff>
      <xdr:row>47</xdr:row>
      <xdr:rowOff>44450</xdr:rowOff>
    </xdr:from>
    <xdr:to>
      <xdr:col>5</xdr:col>
      <xdr:colOff>315595</xdr:colOff>
      <xdr:row>53</xdr:row>
      <xdr:rowOff>84293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F4876A5-8955-4A17-B015-0B666CC769C7}"/>
            </a:ext>
          </a:extLst>
        </xdr:cNvPr>
        <xdr:cNvSpPr txBox="1"/>
      </xdr:nvSpPr>
      <xdr:spPr>
        <a:xfrm>
          <a:off x="321310" y="10064750"/>
          <a:ext cx="3499485" cy="11256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/>
            <a:t>Additional observations: Freeways have no pedestrians, making them the easiest place to drive by day. The countryside is easiest at night, with the largest assumed population drop. Since 41% of missions are in the countryside, designers seem to keep players focused on the missions rather than on dodging traffic.</a:t>
          </a:r>
        </a:p>
      </xdr:txBody>
    </xdr:sp>
    <xdr:clientData/>
  </xdr:twoCellAnchor>
  <xdr:twoCellAnchor>
    <xdr:from>
      <xdr:col>11</xdr:col>
      <xdr:colOff>122652</xdr:colOff>
      <xdr:row>34</xdr:row>
      <xdr:rowOff>82648</xdr:rowOff>
    </xdr:from>
    <xdr:to>
      <xdr:col>15</xdr:col>
      <xdr:colOff>91585</xdr:colOff>
      <xdr:row>46</xdr:row>
      <xdr:rowOff>168520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D7D5E18B-71E5-912C-2A15-338F7DB7F8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435805</xdr:colOff>
      <xdr:row>17</xdr:row>
      <xdr:rowOff>172330</xdr:rowOff>
    </xdr:from>
    <xdr:to>
      <xdr:col>19</xdr:col>
      <xdr:colOff>51289</xdr:colOff>
      <xdr:row>19</xdr:row>
      <xdr:rowOff>58616</xdr:rowOff>
    </xdr:to>
    <xdr:sp macro="" textlink="">
      <xdr:nvSpPr>
        <xdr:cNvPr id="12" name="TextBox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29E4AC-7D0C-931C-AC71-4EDBC775701B}"/>
            </a:ext>
          </a:extLst>
        </xdr:cNvPr>
        <xdr:cNvSpPr txBox="1"/>
      </xdr:nvSpPr>
      <xdr:spPr>
        <a:xfrm>
          <a:off x="13983286" y="4026292"/>
          <a:ext cx="1747618" cy="2526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Heat Map By:</a:t>
          </a:r>
          <a:r>
            <a:rPr lang="en-CA" sz="1100" baseline="0"/>
            <a:t> </a:t>
          </a:r>
          <a:r>
            <a:rPr lang="en-CA" sz="1100" b="0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MacandBoi2</a:t>
          </a:r>
          <a:endParaRPr lang="en-CA" sz="1100"/>
        </a:p>
      </xdr:txBody>
    </xdr:sp>
    <xdr:clientData/>
  </xdr:twoCellAnchor>
  <xdr:twoCellAnchor>
    <xdr:from>
      <xdr:col>15</xdr:col>
      <xdr:colOff>412115</xdr:colOff>
      <xdr:row>34</xdr:row>
      <xdr:rowOff>141605</xdr:rowOff>
    </xdr:from>
    <xdr:to>
      <xdr:col>19</xdr:col>
      <xdr:colOff>314325</xdr:colOff>
      <xdr:row>39</xdr:row>
      <xdr:rowOff>194783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FAE717B-B059-4819-A56F-E80151A9668A}"/>
            </a:ext>
          </a:extLst>
        </xdr:cNvPr>
        <xdr:cNvSpPr txBox="1"/>
      </xdr:nvSpPr>
      <xdr:spPr>
        <a:xfrm>
          <a:off x="13937615" y="7409180"/>
          <a:ext cx="2035810" cy="13009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/>
            <a:t>At base assumptions, night missions score 14.6% lower on the challenge index than daytime missions.</a:t>
          </a:r>
        </a:p>
      </xdr:txBody>
    </xdr:sp>
    <xdr:clientData/>
  </xdr:twoCellAnchor>
  <xdr:twoCellAnchor>
    <xdr:from>
      <xdr:col>19</xdr:col>
      <xdr:colOff>221615</xdr:colOff>
      <xdr:row>17</xdr:row>
      <xdr:rowOff>151130</xdr:rowOff>
    </xdr:from>
    <xdr:to>
      <xdr:col>22</xdr:col>
      <xdr:colOff>434340</xdr:colOff>
      <xdr:row>19</xdr:row>
      <xdr:rowOff>57550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BF39718-D215-1C03-1209-7974BBDF1E83}"/>
            </a:ext>
          </a:extLst>
        </xdr:cNvPr>
        <xdr:cNvSpPr txBox="1"/>
      </xdr:nvSpPr>
      <xdr:spPr>
        <a:xfrm>
          <a:off x="15880715" y="3980180"/>
          <a:ext cx="2041525" cy="2683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CA" sz="1100"/>
            <a:t>Civilian Density</a:t>
          </a:r>
          <a:r>
            <a:rPr lang="en-CA" sz="1100" baseline="0"/>
            <a:t> Heat Map</a:t>
          </a:r>
          <a:endParaRPr lang="en-CA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9AD9DB1-240C-4AA7-853C-DD0E12741BA4}" name="Table3" displayName="Table3" ref="B6:G13" totalsRowShown="0" headerRowDxfId="41" dataDxfId="40">
  <autoFilter ref="B6:G13" xr:uid="{89AD9DB1-240C-4AA7-853C-DD0E12741BA4}"/>
  <tableColumns count="6">
    <tableColumn id="1" xr3:uid="{6FC00A2A-4556-44F3-B7D0-6854F62D25F9}" name="Vehicle Type" dataDxfId="39"/>
    <tableColumn id="2" xr3:uid="{2AB624CA-FD70-4113-9810-20B5521ADF28}" name="Spawn Weight" dataDxfId="38"/>
    <tableColumn id="3" xr3:uid="{F12187A3-D2BB-4EC4-9E33-C0C51318344D}" name="Maneuver Difficulty" dataDxfId="37"/>
    <tableColumn id="4" xr3:uid="{88503825-B999-4F52-B6DE-583B58E94F82}" name="Priority Area" dataDxfId="36"/>
    <tableColumn id="5" xr3:uid="{BE64FC0B-668D-490C-97A8-2B1BD41761E8}" name="Time-of-Day Boost" dataDxfId="35"/>
    <tableColumn id="6" xr3:uid="{B74EF184-B4FB-41CB-A8BF-F386150979DA}" name="Rationale" dataDxfId="34"/>
  </tableColumns>
  <tableStyleInfo name="TableStyleLight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F40B3D-A4F5-4953-8A85-B47B9A19B0B3}" name="Table1" displayName="Table1" ref="B2:Q10" totalsRowShown="0" headerRowDxfId="33" dataDxfId="32">
  <autoFilter ref="B2:Q10" xr:uid="{BBF40B3D-A4F5-4953-8A85-B47B9A19B0B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865B8651-5132-4E79-820E-362B32E4CEBE}" name="Vehicle Types" dataDxfId="31">
      <calculatedColumnFormula>Assumptions!B7</calculatedColumnFormula>
    </tableColumn>
    <tableColumn id="2" xr3:uid="{6A5FF948-2DB0-4882-9101-BDC349894216}" name="Weight Pool" dataDxfId="30">
      <calculatedColumnFormula>Assumptions!C7</calculatedColumnFormula>
    </tableColumn>
    <tableColumn id="3" xr3:uid="{1EACE894-12C5-4EC3-9EE1-DBC4D3C71BD7}" name="Weight Pool (%)" dataDxfId="29" dataCellStyle="Percent">
      <calculatedColumnFormula>C3/$C$10</calculatedColumnFormula>
    </tableColumn>
    <tableColumn id="4" xr3:uid="{E0923428-97E9-4907-BEAF-C6680763ECBF}" name="Priority Area Spawn" dataDxfId="28">
      <calculatedColumnFormula>Assumptions!E7</calculatedColumnFormula>
    </tableColumn>
    <tableColumn id="5" xr3:uid="{E8B6358D-8D4E-451F-AF24-354B5365C46B}" name="Freeway (Multiplier)" dataDxfId="27">
      <calculatedColumnFormula>$D3*IF($E3="Freeway",Assumptions!$C$17,Assumptions!$C$18)</calculatedColumnFormula>
    </tableColumn>
    <tableColumn id="6" xr3:uid="{D4BC4B06-1F86-48BE-BB56-71347955EDD5}" name="Freeway (Normalized)" dataDxfId="26">
      <calculatedColumnFormula>F3/SUM(F$3:F$8)</calculatedColumnFormula>
    </tableColumn>
    <tableColumn id="7" xr3:uid="{354A1AE0-05F0-4145-AF3C-657EC8569227}" name="Country (Multiplier)" dataDxfId="25">
      <calculatedColumnFormula>$D3*IF($E3="Country",Assumptions!$C$17,Assumptions!$C$18)</calculatedColumnFormula>
    </tableColumn>
    <tableColumn id="8" xr3:uid="{4D01C236-084E-43D3-A0FF-EAD839CBC77A}" name="Country (Normalized)" dataDxfId="24">
      <calculatedColumnFormula>H3/SUM(H$3:H$8)</calculatedColumnFormula>
    </tableColumn>
    <tableColumn id="9" xr3:uid="{A9ABB6CB-492F-4E1E-9AF7-B324751F3B97}" name="Downtown (Multiplier)" dataDxfId="23" dataCellStyle="Comma">
      <calculatedColumnFormula>$D3*IF($E3="Downtown",Assumptions!$C$17,Assumptions!$C$18)</calculatedColumnFormula>
    </tableColumn>
    <tableColumn id="10" xr3:uid="{E7290978-BB0E-4C84-BEB8-D490BE504D8A}" name="Downtown (Normalized)" dataDxfId="22" dataCellStyle="Percent">
      <calculatedColumnFormula>J3/SUM(J$3:J$8)</calculatedColumnFormula>
    </tableColumn>
    <tableColumn id="11" xr3:uid="{ABD09CC1-A180-4C7D-AA83-CC23D6E5B492}" name="Vinewood Hills (Multiplier)" dataDxfId="21" dataCellStyle="Comma">
      <calculatedColumnFormula>$D3*IF($E3="Vinewood Hills",Assumptions!$C$17,Assumptions!$C$18)</calculatedColumnFormula>
    </tableColumn>
    <tableColumn id="12" xr3:uid="{EA4689E6-24BC-4A3D-AE75-3959C1B99D43}" name="Vinewood Hills (Normalized)" dataDxfId="20" dataCellStyle="Percent">
      <calculatedColumnFormula>L3/SUM(L$3:L$8)</calculatedColumnFormula>
    </tableColumn>
    <tableColumn id="13" xr3:uid="{09FAEDC2-B9B2-427D-9A15-BB9E87008846}" name="South Side (Multiplier)" dataDxfId="19" dataCellStyle="Comma">
      <calculatedColumnFormula>$D3*IF($E3="South Side",Assumptions!$C$17,Assumptions!$C$18)</calculatedColumnFormula>
    </tableColumn>
    <tableColumn id="14" xr3:uid="{FB57334B-865B-4513-AFC8-D9F96999AAB0}" name="South Side (Normalized)" dataDxfId="18" dataCellStyle="Percent">
      <calculatedColumnFormula>N3/SUM(N$3:N$8)</calculatedColumnFormula>
    </tableColumn>
    <tableColumn id="15" xr3:uid="{B722257C-8C71-4FDA-9410-27C1F0AE8A92}" name="Rockford Hills (Multiplier)" dataDxfId="17" dataCellStyle="Comma">
      <calculatedColumnFormula>$D3*IF($E3="Rockford Hills",Assumptions!$C$17,Assumptions!$C$18)</calculatedColumnFormula>
    </tableColumn>
    <tableColumn id="16" xr3:uid="{773F5A58-112E-4A93-BE4F-7112618C05C5}" name="Rockford Hills (Normalized)" dataDxfId="16" dataCellStyle="Percent">
      <calculatedColumnFormula>P3/SUM(P$3:P$8)</calculatedColumnFormula>
    </tableColumn>
  </tableColumns>
  <tableStyleInfo name="TableStyleMedium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2FE2CCE-9DF2-4A99-A4CF-BC9B1091EF42}" name="Table6" displayName="Table6" ref="F46:H52" totalsRowShown="0">
  <autoFilter ref="F46:H52" xr:uid="{A2FE2CCE-9DF2-4A99-A4CF-BC9B1091EF42}">
    <filterColumn colId="0" hiddenButton="1"/>
    <filterColumn colId="1" hiddenButton="1"/>
    <filterColumn colId="2" hiddenButton="1"/>
  </autoFilter>
  <tableColumns count="3">
    <tableColumn id="1" xr3:uid="{21468B69-F14D-4C2A-98CF-A4B259F0AB42}" name="Location"/>
    <tableColumn id="3" xr3:uid="{807E283E-517A-4590-B7B6-2FBB2FF00C54}" name="Mission %" dataDxfId="15" dataCellStyle="Percent">
      <calculatedColumnFormula>H28</calculatedColumnFormula>
    </tableColumn>
    <tableColumn id="4" xr3:uid="{7AE5E7EE-EDC1-45E0-B1FC-432FF7BE626B}" name="Weighted Impact" dataDxfId="14" dataCellStyle="Percent">
      <calculatedColumnFormula array="1">Table6[[#This Row],[Mission %]]*INDEX($M$35:$R$35,ROW()-ROW(Table6[#Headers]))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FF9015-9A95-4A5C-BABF-CC3A2096FE2A}" name="Table2" displayName="Table2" ref="B27:J34" totalsRowCount="1">
  <autoFilter ref="B27:J33" xr:uid="{39FF9015-9A95-4A5C-BABF-CC3A2096FE2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77D9FA9F-6743-4C59-8A79-CF7BD19EC7AA}" name="Location"/>
    <tableColumn id="2" xr3:uid="{EBF821D1-AB1A-4CAC-AF10-1C30CBE0D06C}" name="Day Mix" dataDxfId="13" totalsRowDxfId="12" dataCellStyle="Comma" totalsRowCellStyle="Comma"/>
    <tableColumn id="3" xr3:uid="{7721C6B4-2756-42B9-AFAE-E277AB6C3441}" name="Night Mix" dataDxfId="11" totalsRowDxfId="10" dataCellStyle="Comma" totalsRowCellStyle="Comma"/>
    <tableColumn id="4" xr3:uid="{7A7E0EC7-8629-4A7B-9084-B37766B944F0}" name="Pop Day" dataDxfId="9" totalsRowDxfId="8">
      <calculatedColumnFormula>M5</calculatedColumnFormula>
    </tableColumn>
    <tableColumn id="5" xr3:uid="{F6950DF5-7CCC-4949-8761-9FC272002D85}" name="Pop Night" dataDxfId="7" totalsRowDxfId="6">
      <calculatedColumnFormula>O5</calculatedColumnFormula>
    </tableColumn>
    <tableColumn id="6" xr3:uid="{4F9BCD6E-3D30-44DD-B7EA-2AEEF4B5F8F6}" name="Final Day" dataDxfId="5" totalsRowDxfId="4">
      <calculatedColumnFormula>C28*E28</calculatedColumnFormula>
    </tableColumn>
    <tableColumn id="7" xr3:uid="{83905557-7B1C-411A-B464-A643C03E83FA}" name="Final Night" totalsRowLabel=" Sum: " dataDxfId="3" totalsRowDxfId="2">
      <calculatedColumnFormula>D28*F28</calculatedColumnFormula>
    </tableColumn>
    <tableColumn id="8" xr3:uid="{B996FC97-1DFF-4B57-B17E-9F133F722E6D}" name="Day&amp;Missions" totalsRowFunction="sum" totalsRowDxfId="1" dataCellStyle="Comma" totalsRowCellStyle="Comma">
      <calculatedColumnFormula>SUMPRODUCT(O25,Table2[[#This Row],[Final Day]])</calculatedColumnFormula>
    </tableColumn>
    <tableColumn id="9" xr3:uid="{D10FE482-04C7-4E24-AB54-D2516E69ADC1}" name="Night&amp;Missions" totalsRowFunction="sum" totalsRowDxfId="0" dataCellStyle="Comma" totalsRowCellStyle="Comma">
      <calculatedColumnFormula>SUMPRODUCT(O25,Table2[[#This Row],[Final Night]])</calculatedColumnFormula>
    </tableColumn>
  </tableColumns>
  <tableStyleInfo name="TableStyleDark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EAF6670-78DA-49AD-9A1D-6AB617FE3688}" name="Table5" displayName="Table5" ref="I4:O11" totalsRowShown="0">
  <autoFilter ref="I4:O11" xr:uid="{BEAF6670-78DA-49AD-9A1D-6AB617FE368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D6AAEFC4-9AF6-45DA-84A3-A56E5F645B35}" name="Time-of-Day"/>
    <tableColumn id="2" xr3:uid="{21E13C68-6A58-4514-B166-51B0A38D7818}" name="Type"/>
    <tableColumn id="3" xr3:uid="{AA9E98F6-C9AE-42C4-B47F-C8BA4AF980B3}" name="Location"/>
    <tableColumn id="4" xr3:uid="{65F47393-40EB-47F0-8942-313F4622CF49}" name="Population Density"/>
    <tableColumn id="5" xr3:uid="{2477521F-BA48-45A2-9051-1E7086374616}" name="Population Multiplier:"/>
    <tableColumn id="6" xr3:uid="{9C036B74-7FC0-4E24-99E4-72AA151A49BB}" name="Night Factor:"/>
    <tableColumn id="7" xr3:uid="{BD399481-AB8E-4CE6-80AD-5C52DD26D584}" name="Nighttime multiplier: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A41E03A-3583-42D3-9698-8B1C1403D09D}">
  <we:reference id="wa200010725" version="1.0.0.1" store="en-US" storeType="OMEX"/>
  <we:alternateReferences>
    <we:reference id="wa200010725" version="1.0.0.1" store="en-US" storeType="OMEX"/>
  </we:alternateReferences>
  <we:properties>
    <we:property name="claude.fileId" value="&quot;c9897a8f-eff3-4f9c-8089-518015b5fe6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C28B9-EAE6-403D-807D-5C634BBA137A}">
  <sheetPr>
    <pageSetUpPr fitToPage="1"/>
  </sheetPr>
  <dimension ref="B2:N28"/>
  <sheetViews>
    <sheetView showGridLines="0" tabSelected="1" workbookViewId="0">
      <selection activeCell="C20" sqref="C20"/>
    </sheetView>
  </sheetViews>
  <sheetFormatPr defaultRowHeight="14.4" x14ac:dyDescent="0.3"/>
  <cols>
    <col min="1" max="1" width="4.44140625" customWidth="1"/>
    <col min="2" max="2" width="5.21875" customWidth="1"/>
    <col min="3" max="3" width="133.33203125" customWidth="1"/>
  </cols>
  <sheetData>
    <row r="2" spans="2:3" ht="36" customHeight="1" x14ac:dyDescent="0.6">
      <c r="B2" s="97" t="s">
        <v>130</v>
      </c>
    </row>
    <row r="3" spans="2:3" ht="15.6" x14ac:dyDescent="0.3">
      <c r="B3" s="98" t="s">
        <v>142</v>
      </c>
    </row>
    <row r="5" spans="2:3" ht="17.399999999999999" x14ac:dyDescent="0.35">
      <c r="B5" s="99" t="s">
        <v>131</v>
      </c>
      <c r="C5" s="99"/>
    </row>
    <row r="6" spans="2:3" ht="19.95" customHeight="1" x14ac:dyDescent="0.3">
      <c r="B6" s="56">
        <v>1</v>
      </c>
      <c r="C6" s="95" t="s">
        <v>132</v>
      </c>
    </row>
    <row r="7" spans="2:3" ht="19.95" customHeight="1" x14ac:dyDescent="0.3">
      <c r="B7" s="56">
        <v>2</v>
      </c>
      <c r="C7" s="95" t="s">
        <v>133</v>
      </c>
    </row>
    <row r="8" spans="2:3" ht="19.95" customHeight="1" x14ac:dyDescent="0.3">
      <c r="B8" s="56">
        <v>3</v>
      </c>
      <c r="C8" s="95" t="s">
        <v>134</v>
      </c>
    </row>
    <row r="9" spans="2:3" ht="19.95" customHeight="1" x14ac:dyDescent="0.3">
      <c r="B9" s="28"/>
    </row>
    <row r="10" spans="2:3" ht="19.95" customHeight="1" x14ac:dyDescent="0.35">
      <c r="B10" s="102" t="s">
        <v>135</v>
      </c>
      <c r="C10" s="100"/>
    </row>
    <row r="11" spans="2:3" ht="19.95" customHeight="1" x14ac:dyDescent="0.3">
      <c r="B11" s="28" t="s">
        <v>136</v>
      </c>
      <c r="C11" t="s">
        <v>137</v>
      </c>
    </row>
    <row r="12" spans="2:3" ht="19.95" customHeight="1" x14ac:dyDescent="0.3">
      <c r="B12" s="28" t="s">
        <v>136</v>
      </c>
      <c r="C12" t="s">
        <v>138</v>
      </c>
    </row>
    <row r="13" spans="2:3" ht="19.95" customHeight="1" x14ac:dyDescent="0.3">
      <c r="B13" s="28" t="s">
        <v>136</v>
      </c>
      <c r="C13" t="s">
        <v>139</v>
      </c>
    </row>
    <row r="14" spans="2:3" ht="19.95" customHeight="1" x14ac:dyDescent="0.3">
      <c r="B14" s="28" t="s">
        <v>136</v>
      </c>
      <c r="C14" t="s">
        <v>140</v>
      </c>
    </row>
    <row r="15" spans="2:3" ht="19.95" customHeight="1" x14ac:dyDescent="0.3">
      <c r="B15" s="28"/>
    </row>
    <row r="16" spans="2:3" ht="19.95" customHeight="1" x14ac:dyDescent="0.35">
      <c r="B16" s="102" t="s">
        <v>143</v>
      </c>
      <c r="C16" s="100"/>
    </row>
    <row r="17" spans="2:14" ht="19.95" customHeight="1" x14ac:dyDescent="0.3">
      <c r="B17" s="56">
        <v>1</v>
      </c>
      <c r="C17" s="101" t="str">
        <f>"Sedans/SUVs are the largest share in every area ("&amp;TEXT(MIN('1. Vehicle Mix by Area'!G3,'1. Vehicle Mix by Area'!I3,'1. Vehicle Mix by Area'!K3,'1. Vehicle Mix by Area'!M3,'1. Vehicle Mix by Area'!O3,'1. Vehicle Mix by Area'!Q3),"0%")&amp;"–"&amp;TEXT(MAX('1. Vehicle Mix by Area'!G3,'1. Vehicle Mix by Area'!I3,'1. Vehicle Mix by Area'!K3,'1. Vehicle Mix by Area'!M3,'1. Vehicle Mix by Area'!O3,'1. Vehicle Mix by Area'!Q3),"0%")&amp;"), driven by their "&amp;TEXT('1. Vehicle Mix by Area'!D3,"0%")&amp;" starting spawn weight."</f>
        <v>Sedans/SUVs are the largest share in every area (47%–75%), driven by their 56% starting spawn weight.</v>
      </c>
    </row>
    <row r="18" spans="2:14" ht="19.95" customHeight="1" x14ac:dyDescent="0.3">
      <c r="B18" s="56">
        <v>2</v>
      </c>
      <c r="C18" s="101" t="str">
        <f>"Area Difficulty Indices only span "&amp;TEXT(MIN('2. Mission Difficulty'!M35:R35),"0.00")&amp;"–"&amp;TEXT(MAX('2. Mission Difficulty'!M35:R35),"0.00")&amp;"; Country has the highest weighted impact because it hosts "&amp;TEXT('2. Mission Difficulty'!H29,"0%")&amp;" of missions."</f>
        <v>Area Difficulty Indices only span 1.18–1.37; Country has the highest weighted impact because it hosts 41% of missions.</v>
      </c>
    </row>
    <row r="19" spans="2:14" ht="19.95" customHeight="1" x14ac:dyDescent="0.3">
      <c r="B19" s="56">
        <v>3</v>
      </c>
      <c r="C19" s="101" t="str">
        <f>"Night missions score "&amp;TEXT('3. Day vs Night'!I36,"0.0%")&amp;" lower on the Challenge Index than daytime missions."</f>
        <v>Night missions score 14.6% lower on the Challenge Index than daytime missions.</v>
      </c>
    </row>
    <row r="20" spans="2:14" ht="19.95" customHeight="1" x14ac:dyDescent="0.3">
      <c r="B20" s="56">
        <v>4</v>
      </c>
      <c r="C20" s="101" t="str">
        <f>"Night is only easier if night population falls below "&amp;TEXT('3. Day vs Night'!J48,"0%")&amp;" of daytime levels."</f>
        <v>Night is only easier if night population falls below 96% of daytime levels.</v>
      </c>
    </row>
    <row r="21" spans="2:14" ht="19.95" customHeight="1" x14ac:dyDescent="0.3">
      <c r="B21" s="28"/>
    </row>
    <row r="22" spans="2:14" ht="19.95" customHeight="1" x14ac:dyDescent="0.35">
      <c r="B22" s="102" t="s">
        <v>93</v>
      </c>
      <c r="C22" s="100"/>
    </row>
    <row r="23" spans="2:14" ht="19.95" customHeight="1" x14ac:dyDescent="0.3">
      <c r="B23" s="28" t="s">
        <v>136</v>
      </c>
      <c r="C23" s="96" t="s">
        <v>144</v>
      </c>
    </row>
    <row r="24" spans="2:14" ht="19.95" customHeight="1" x14ac:dyDescent="0.3">
      <c r="B24" s="28" t="s">
        <v>136</v>
      </c>
      <c r="C24" t="s">
        <v>141</v>
      </c>
    </row>
    <row r="28" spans="2:14" x14ac:dyDescent="0.3">
      <c r="N28" t="s">
        <v>45</v>
      </c>
    </row>
  </sheetData>
  <hyperlinks>
    <hyperlink ref="C6" location="'1. Vehicle Mix by Area'!A1" tooltip="Go to sheet" display="What is the distribution of vehicle types in each area of the map?" xr:uid="{A8AD3358-44E4-403B-82C2-DAE462DEB74B}"/>
    <hyperlink ref="C7" location="'2. Mission Difficulty'!A1" tooltip="Go to sheet" display="How do maneuver difficulty and mission distribution make an area harder or easier?" xr:uid="{28866EF6-E01D-4D74-9A6B-86588FA95C3C}"/>
    <hyperlink ref="C8" location="'3. Day vs Night'!A1" tooltip="Go to sheet" display="Is it easier to travel between missions during the day or at night?" xr:uid="{5B7A8BD8-33A8-4FD6-B5CF-896B7854B60B}"/>
    <hyperlink ref="C23" location="Assumptions!A1" tooltip="Go to sheet" display="All inputs are estimates, not extracted game data. Blue cells on the Assumptions sheet can be changed." xr:uid="{85E9750A-5BCC-467C-B3CF-76445DE4AA3A}"/>
  </hyperlinks>
  <pageMargins left="0.7" right="0.7" top="0.75" bottom="0.75" header="0.3" footer="0.3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7D8F-F176-44A9-841E-C8184B317581}">
  <sheetPr>
    <pageSetUpPr fitToPage="1"/>
  </sheetPr>
  <dimension ref="B2:G33"/>
  <sheetViews>
    <sheetView showGridLines="0" workbookViewId="0">
      <selection activeCell="G37" sqref="G37"/>
    </sheetView>
  </sheetViews>
  <sheetFormatPr defaultRowHeight="14.4" x14ac:dyDescent="0.3"/>
  <cols>
    <col min="1" max="1" width="3.33203125" customWidth="1"/>
    <col min="2" max="2" width="35.21875" customWidth="1"/>
    <col min="3" max="3" width="19.44140625" customWidth="1"/>
    <col min="4" max="4" width="20.109375" customWidth="1"/>
    <col min="5" max="6" width="19.44140625" customWidth="1"/>
    <col min="7" max="7" width="61.109375" customWidth="1"/>
  </cols>
  <sheetData>
    <row r="2" spans="2:7" ht="23.4" x14ac:dyDescent="0.45">
      <c r="B2" s="57" t="s">
        <v>77</v>
      </c>
    </row>
    <row r="3" spans="2:7" x14ac:dyDescent="0.3">
      <c r="B3" s="58" t="s">
        <v>78</v>
      </c>
    </row>
    <row r="5" spans="2:7" ht="17.399999999999999" x14ac:dyDescent="0.35">
      <c r="B5" s="59" t="s">
        <v>79</v>
      </c>
    </row>
    <row r="6" spans="2:7" ht="31.95" customHeight="1" x14ac:dyDescent="0.3">
      <c r="B6" s="60" t="s">
        <v>34</v>
      </c>
      <c r="C6" s="60" t="s">
        <v>80</v>
      </c>
      <c r="D6" s="60" t="s">
        <v>35</v>
      </c>
      <c r="E6" s="60" t="s">
        <v>81</v>
      </c>
      <c r="F6" s="60" t="s">
        <v>82</v>
      </c>
      <c r="G6" s="60" t="s">
        <v>83</v>
      </c>
    </row>
    <row r="7" spans="2:7" x14ac:dyDescent="0.3">
      <c r="B7" s="61" t="s">
        <v>20</v>
      </c>
      <c r="C7" s="65">
        <v>25</v>
      </c>
      <c r="D7" s="65">
        <v>1</v>
      </c>
      <c r="E7" s="65" t="s">
        <v>7</v>
      </c>
      <c r="F7" s="65" t="s">
        <v>84</v>
      </c>
      <c r="G7" s="75" t="s">
        <v>38</v>
      </c>
    </row>
    <row r="8" spans="2:7" x14ac:dyDescent="0.3">
      <c r="B8" s="62" t="s">
        <v>1</v>
      </c>
      <c r="C8" s="66">
        <v>7.5</v>
      </c>
      <c r="D8" s="66">
        <v>1.4</v>
      </c>
      <c r="E8" s="66" t="s">
        <v>8</v>
      </c>
      <c r="F8" s="66" t="s">
        <v>84</v>
      </c>
      <c r="G8" s="77" t="s">
        <v>85</v>
      </c>
    </row>
    <row r="9" spans="2:7" x14ac:dyDescent="0.3">
      <c r="B9" s="62" t="s">
        <v>17</v>
      </c>
      <c r="C9" s="66">
        <v>5.5</v>
      </c>
      <c r="D9" s="66">
        <v>1.8</v>
      </c>
      <c r="E9" s="66" t="s">
        <v>9</v>
      </c>
      <c r="F9" s="66" t="s">
        <v>86</v>
      </c>
      <c r="G9" s="77" t="s">
        <v>39</v>
      </c>
    </row>
    <row r="10" spans="2:7" x14ac:dyDescent="0.3">
      <c r="B10" s="62" t="s">
        <v>2</v>
      </c>
      <c r="C10" s="66">
        <v>2</v>
      </c>
      <c r="D10" s="66">
        <v>2.2000000000000002</v>
      </c>
      <c r="E10" s="66" t="s">
        <v>10</v>
      </c>
      <c r="F10" s="66" t="s">
        <v>86</v>
      </c>
      <c r="G10" s="77" t="s">
        <v>87</v>
      </c>
    </row>
    <row r="11" spans="2:7" x14ac:dyDescent="0.3">
      <c r="B11" s="62" t="s">
        <v>18</v>
      </c>
      <c r="C11" s="66">
        <v>3.5</v>
      </c>
      <c r="D11" s="66">
        <v>1.7</v>
      </c>
      <c r="E11" s="66" t="s">
        <v>11</v>
      </c>
      <c r="F11" s="66" t="s">
        <v>86</v>
      </c>
      <c r="G11" s="77" t="s">
        <v>40</v>
      </c>
    </row>
    <row r="12" spans="2:7" x14ac:dyDescent="0.3">
      <c r="B12" s="63" t="s">
        <v>3</v>
      </c>
      <c r="C12" s="67">
        <v>0.75</v>
      </c>
      <c r="D12" s="67">
        <v>2.6</v>
      </c>
      <c r="E12" s="67" t="s">
        <v>19</v>
      </c>
      <c r="F12" s="67" t="s">
        <v>86</v>
      </c>
      <c r="G12" s="78" t="s">
        <v>88</v>
      </c>
    </row>
    <row r="13" spans="2:7" x14ac:dyDescent="0.3">
      <c r="B13" s="64" t="s">
        <v>12</v>
      </c>
      <c r="C13" s="68">
        <f>SUM(C7:C12)</f>
        <v>44.25</v>
      </c>
      <c r="D13" s="68"/>
      <c r="E13" s="68"/>
      <c r="F13" s="68"/>
      <c r="G13" s="64"/>
    </row>
    <row r="15" spans="2:7" ht="17.399999999999999" x14ac:dyDescent="0.35">
      <c r="B15" s="59" t="s">
        <v>89</v>
      </c>
    </row>
    <row r="16" spans="2:7" x14ac:dyDescent="0.3">
      <c r="B16" s="60" t="s">
        <v>90</v>
      </c>
      <c r="C16" s="60" t="s">
        <v>91</v>
      </c>
      <c r="D16" s="60" t="s">
        <v>92</v>
      </c>
      <c r="E16" s="60" t="s">
        <v>93</v>
      </c>
    </row>
    <row r="17" spans="2:6" x14ac:dyDescent="0.3">
      <c r="B17" s="61" t="s">
        <v>94</v>
      </c>
      <c r="C17" s="65">
        <v>1.5</v>
      </c>
      <c r="D17" s="69" t="s">
        <v>95</v>
      </c>
      <c r="E17" s="75" t="s">
        <v>96</v>
      </c>
    </row>
    <row r="18" spans="2:6" x14ac:dyDescent="0.3">
      <c r="B18" s="62" t="s">
        <v>97</v>
      </c>
      <c r="C18" s="71">
        <f>1/C17</f>
        <v>0.66666666666666663</v>
      </c>
      <c r="D18" s="70" t="s">
        <v>95</v>
      </c>
      <c r="E18" s="76" t="s">
        <v>98</v>
      </c>
    </row>
    <row r="19" spans="2:6" x14ac:dyDescent="0.3">
      <c r="B19" s="62" t="s">
        <v>99</v>
      </c>
      <c r="C19" s="71">
        <f>C17/C18</f>
        <v>2.25</v>
      </c>
      <c r="D19" s="70" t="s">
        <v>95</v>
      </c>
      <c r="E19" s="77" t="s">
        <v>100</v>
      </c>
    </row>
    <row r="20" spans="2:6" x14ac:dyDescent="0.3">
      <c r="B20" s="62" t="s">
        <v>101</v>
      </c>
      <c r="C20" s="66">
        <v>1.2</v>
      </c>
      <c r="D20" s="70" t="s">
        <v>95</v>
      </c>
      <c r="E20" s="77" t="s">
        <v>102</v>
      </c>
    </row>
    <row r="21" spans="2:6" x14ac:dyDescent="0.3">
      <c r="B21" s="62" t="s">
        <v>103</v>
      </c>
      <c r="C21" s="66">
        <v>0.5</v>
      </c>
      <c r="D21" s="70" t="s">
        <v>95</v>
      </c>
      <c r="E21" s="77" t="s">
        <v>104</v>
      </c>
    </row>
    <row r="22" spans="2:6" x14ac:dyDescent="0.3">
      <c r="B22" s="62" t="s">
        <v>105</v>
      </c>
      <c r="C22" s="66">
        <v>15</v>
      </c>
      <c r="D22" s="70" t="s">
        <v>106</v>
      </c>
      <c r="E22" s="77" t="s">
        <v>107</v>
      </c>
    </row>
    <row r="23" spans="2:6" x14ac:dyDescent="0.3">
      <c r="B23" s="62" t="s">
        <v>108</v>
      </c>
      <c r="C23" s="66">
        <v>48</v>
      </c>
      <c r="D23" s="70" t="s">
        <v>106</v>
      </c>
      <c r="E23" s="77" t="s">
        <v>109</v>
      </c>
    </row>
    <row r="25" spans="2:6" ht="17.399999999999999" x14ac:dyDescent="0.35">
      <c r="B25" s="59" t="s">
        <v>110</v>
      </c>
    </row>
    <row r="26" spans="2:6" ht="31.95" customHeight="1" x14ac:dyDescent="0.3">
      <c r="B26" s="60" t="s">
        <v>60</v>
      </c>
      <c r="C26" s="60" t="s">
        <v>111</v>
      </c>
      <c r="D26" s="60" t="s">
        <v>112</v>
      </c>
      <c r="E26" s="60" t="s">
        <v>113</v>
      </c>
      <c r="F26" s="60" t="s">
        <v>93</v>
      </c>
    </row>
    <row r="27" spans="2:6" x14ac:dyDescent="0.3">
      <c r="B27" s="61" t="s">
        <v>7</v>
      </c>
      <c r="C27" s="65">
        <v>0</v>
      </c>
      <c r="D27" s="72">
        <v>0</v>
      </c>
      <c r="E27" s="72">
        <v>1</v>
      </c>
      <c r="F27" s="75" t="s">
        <v>114</v>
      </c>
    </row>
    <row r="28" spans="2:6" x14ac:dyDescent="0.3">
      <c r="B28" s="62" t="s">
        <v>8</v>
      </c>
      <c r="C28" s="66">
        <v>24</v>
      </c>
      <c r="D28" s="73">
        <v>0.3</v>
      </c>
      <c r="E28" s="73">
        <v>0.7</v>
      </c>
      <c r="F28" s="77" t="s">
        <v>115</v>
      </c>
    </row>
    <row r="29" spans="2:6" x14ac:dyDescent="0.3">
      <c r="B29" s="62" t="s">
        <v>9</v>
      </c>
      <c r="C29" s="66">
        <v>14</v>
      </c>
      <c r="D29" s="73">
        <v>0.6</v>
      </c>
      <c r="E29" s="73">
        <v>0.95</v>
      </c>
      <c r="F29" s="77"/>
    </row>
    <row r="30" spans="2:6" x14ac:dyDescent="0.3">
      <c r="B30" s="62" t="s">
        <v>10</v>
      </c>
      <c r="C30" s="66">
        <v>10</v>
      </c>
      <c r="D30" s="73">
        <v>0.5</v>
      </c>
      <c r="E30" s="73">
        <v>0.9</v>
      </c>
      <c r="F30" s="77"/>
    </row>
    <row r="31" spans="2:6" x14ac:dyDescent="0.3">
      <c r="B31" s="62" t="s">
        <v>11</v>
      </c>
      <c r="C31" s="66">
        <v>7</v>
      </c>
      <c r="D31" s="73">
        <v>0.7</v>
      </c>
      <c r="E31" s="73">
        <v>0.8</v>
      </c>
      <c r="F31" s="77"/>
    </row>
    <row r="32" spans="2:6" x14ac:dyDescent="0.3">
      <c r="B32" s="63" t="s">
        <v>19</v>
      </c>
      <c r="C32" s="67">
        <v>3</v>
      </c>
      <c r="D32" s="74">
        <v>0.6</v>
      </c>
      <c r="E32" s="74">
        <v>0.8</v>
      </c>
      <c r="F32" s="78"/>
    </row>
    <row r="33" spans="2:6" x14ac:dyDescent="0.3">
      <c r="B33" s="64" t="s">
        <v>12</v>
      </c>
      <c r="C33" s="68">
        <f>SUM(C27:C32)</f>
        <v>58</v>
      </c>
      <c r="D33" s="68"/>
      <c r="E33" s="68"/>
      <c r="F33" s="64"/>
    </row>
  </sheetData>
  <pageMargins left="0.7" right="0.7" top="0.75" bottom="0.75" header="0.3" footer="0.3"/>
  <pageSetup scale="68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16AAE-DD6A-47B2-A651-397FB25A9F51}">
  <sheetPr>
    <pageSetUpPr fitToPage="1"/>
  </sheetPr>
  <dimension ref="B2:Q10"/>
  <sheetViews>
    <sheetView showGridLines="0" zoomScaleNormal="100" workbookViewId="0">
      <selection activeCell="B28" sqref="B28"/>
    </sheetView>
  </sheetViews>
  <sheetFormatPr defaultRowHeight="14.4" x14ac:dyDescent="0.3"/>
  <cols>
    <col min="2" max="2" width="15" customWidth="1"/>
    <col min="3" max="3" width="13.44140625" customWidth="1"/>
    <col min="4" max="4" width="16.77734375" customWidth="1"/>
    <col min="5" max="5" width="19.77734375" customWidth="1"/>
    <col min="6" max="6" width="13.77734375" customWidth="1"/>
    <col min="7" max="7" width="13.6640625" customWidth="1"/>
    <col min="8" max="9" width="12.88671875" customWidth="1"/>
    <col min="10" max="17" width="14.109375" customWidth="1"/>
  </cols>
  <sheetData>
    <row r="2" spans="2:17" ht="34.200000000000003" customHeight="1" x14ac:dyDescent="0.3">
      <c r="B2" s="27" t="s">
        <v>0</v>
      </c>
      <c r="C2" s="27" t="s">
        <v>4</v>
      </c>
      <c r="D2" s="27" t="s">
        <v>5</v>
      </c>
      <c r="E2" s="27" t="s">
        <v>6</v>
      </c>
      <c r="F2" s="20" t="s">
        <v>13</v>
      </c>
      <c r="G2" s="14" t="s">
        <v>14</v>
      </c>
      <c r="H2" s="19" t="s">
        <v>15</v>
      </c>
      <c r="I2" s="9" t="s">
        <v>16</v>
      </c>
      <c r="J2" s="18" t="s">
        <v>22</v>
      </c>
      <c r="K2" s="10" t="s">
        <v>23</v>
      </c>
      <c r="L2" s="17" t="s">
        <v>21</v>
      </c>
      <c r="M2" s="11" t="s">
        <v>24</v>
      </c>
      <c r="N2" s="16" t="s">
        <v>25</v>
      </c>
      <c r="O2" s="12" t="s">
        <v>26</v>
      </c>
      <c r="P2" s="15" t="s">
        <v>27</v>
      </c>
      <c r="Q2" s="13" t="s">
        <v>28</v>
      </c>
    </row>
    <row r="3" spans="2:17" ht="34.200000000000003" customHeight="1" x14ac:dyDescent="0.3">
      <c r="B3" s="1" t="str">
        <f>Assumptions!B7</f>
        <v>Sedan/SUV</v>
      </c>
      <c r="C3" s="2">
        <f>Assumptions!C7</f>
        <v>25</v>
      </c>
      <c r="D3" s="3">
        <f t="shared" ref="D3:D8" si="0">C3/$C$10</f>
        <v>0.56497175141242939</v>
      </c>
      <c r="E3" s="21" t="str">
        <f>Assumptions!E7</f>
        <v>Freeway</v>
      </c>
      <c r="F3" s="6">
        <f>$D3*IF($E3="Freeway",Assumptions!$C$17,Assumptions!$C$18)</f>
        <v>0.84745762711864403</v>
      </c>
      <c r="G3" s="7">
        <f t="shared" ref="G3:G8" si="1">F3/SUM(F$3:F$8)</f>
        <v>0.74503311258278138</v>
      </c>
      <c r="H3" s="6">
        <f>$D3*IF($E3="Country",Assumptions!$C$17,Assumptions!$C$18)</f>
        <v>0.37664783427495291</v>
      </c>
      <c r="I3" s="7">
        <f t="shared" ref="I3:I8" si="2">H3/SUM(H$3:H$8)</f>
        <v>0.46620046620046623</v>
      </c>
      <c r="J3" s="6">
        <f>$D3*IF($E3="Downtown",Assumptions!$C$17,Assumptions!$C$18)</f>
        <v>0.37664783427495291</v>
      </c>
      <c r="K3" s="7">
        <f t="shared" ref="K3:K8" si="3">J3/SUM(J$3:J$8)</f>
        <v>0.48899755501222497</v>
      </c>
      <c r="L3" s="6">
        <f>$D3*IF($E3="Vinewood Hills",Assumptions!$C$17,Assumptions!$C$18)</f>
        <v>0.37664783427495291</v>
      </c>
      <c r="M3" s="7">
        <f t="shared" ref="M3:M8" si="4">L3/SUM(L$3:L$8)</f>
        <v>0.53475935828876997</v>
      </c>
      <c r="N3" s="6">
        <f>$D3*IF($E3="South Side",Assumptions!$C$17,Assumptions!$C$18)</f>
        <v>0.37664783427495291</v>
      </c>
      <c r="O3" s="7">
        <f t="shared" ref="O3:O8" si="5">N3/SUM(N$3:N$8)</f>
        <v>0.51413881748071977</v>
      </c>
      <c r="P3" s="6">
        <f>$D3*IF($E3="Rockford Hills",Assumptions!$C$17,Assumptions!$C$18)</f>
        <v>0.37664783427495291</v>
      </c>
      <c r="Q3" s="7">
        <f t="shared" ref="Q3:Q8" si="6">P3/SUM(P$3:P$8)</f>
        <v>0.55325034578146615</v>
      </c>
    </row>
    <row r="4" spans="2:17" ht="34.200000000000003" customHeight="1" x14ac:dyDescent="0.3">
      <c r="B4" s="1" t="str">
        <f>Assumptions!B8</f>
        <v>Off Road</v>
      </c>
      <c r="C4" s="2">
        <f>Assumptions!C8</f>
        <v>7.5</v>
      </c>
      <c r="D4" s="3">
        <f t="shared" si="0"/>
        <v>0.16949152542372881</v>
      </c>
      <c r="E4" s="22" t="str">
        <f>Assumptions!E8</f>
        <v>Country</v>
      </c>
      <c r="F4" s="6">
        <f>$D4*IF($E4="Freeway",Assumptions!$C$17,Assumptions!$C$18)</f>
        <v>0.11299435028248586</v>
      </c>
      <c r="G4" s="7">
        <f t="shared" si="1"/>
        <v>9.9337748344370841E-2</v>
      </c>
      <c r="H4" s="6">
        <f>$D4*IF($E4="Country",Assumptions!$C$17,Assumptions!$C$18)</f>
        <v>0.25423728813559321</v>
      </c>
      <c r="I4" s="7">
        <f t="shared" si="2"/>
        <v>0.31468531468531474</v>
      </c>
      <c r="J4" s="6">
        <f>$D4*IF($E4="Downtown",Assumptions!$C$17,Assumptions!$C$18)</f>
        <v>0.11299435028248586</v>
      </c>
      <c r="K4" s="7">
        <f t="shared" si="3"/>
        <v>0.14669926650366746</v>
      </c>
      <c r="L4" s="6">
        <f>$D4*IF($E4="Vinewood Hills",Assumptions!$C$17,Assumptions!$C$18)</f>
        <v>0.11299435028248586</v>
      </c>
      <c r="M4" s="7">
        <f t="shared" si="4"/>
        <v>0.16042780748663099</v>
      </c>
      <c r="N4" s="6">
        <f>$D4*IF($E4="South Side",Assumptions!$C$17,Assumptions!$C$18)</f>
        <v>0.11299435028248586</v>
      </c>
      <c r="O4" s="7">
        <f t="shared" si="5"/>
        <v>0.15424164524421594</v>
      </c>
      <c r="P4" s="6">
        <f>$D4*IF($E4="Rockford Hills",Assumptions!$C$17,Assumptions!$C$18)</f>
        <v>0.11299435028248586</v>
      </c>
      <c r="Q4" s="7">
        <f t="shared" si="6"/>
        <v>0.1659751037344398</v>
      </c>
    </row>
    <row r="5" spans="2:17" ht="34.200000000000003" customHeight="1" x14ac:dyDescent="0.3">
      <c r="B5" s="1" t="str">
        <f>Assumptions!B9</f>
        <v>Sport</v>
      </c>
      <c r="C5" s="2">
        <f>Assumptions!C9</f>
        <v>5.5</v>
      </c>
      <c r="D5" s="3">
        <f t="shared" si="0"/>
        <v>0.12429378531073447</v>
      </c>
      <c r="E5" s="23" t="str">
        <f>Assumptions!E9</f>
        <v>Downtown</v>
      </c>
      <c r="F5" s="6">
        <f>$D5*IF($E5="Freeway",Assumptions!$C$17,Assumptions!$C$18)</f>
        <v>8.2862523540489647E-2</v>
      </c>
      <c r="G5" s="7">
        <f t="shared" si="1"/>
        <v>7.2847682119205295E-2</v>
      </c>
      <c r="H5" s="6">
        <f>$D5*IF($E5="Country",Assumptions!$C$17,Assumptions!$C$18)</f>
        <v>8.2862523540489647E-2</v>
      </c>
      <c r="I5" s="7">
        <f t="shared" si="2"/>
        <v>0.10256410256410259</v>
      </c>
      <c r="J5" s="6">
        <f>$D5*IF($E5="Downtown",Assumptions!$C$17,Assumptions!$C$18)</f>
        <v>0.1864406779661017</v>
      </c>
      <c r="K5" s="7">
        <f t="shared" si="3"/>
        <v>0.24205378973105138</v>
      </c>
      <c r="L5" s="6">
        <f>$D5*IF($E5="Vinewood Hills",Assumptions!$C$17,Assumptions!$C$18)</f>
        <v>8.2862523540489647E-2</v>
      </c>
      <c r="M5" s="7">
        <f t="shared" si="4"/>
        <v>0.11764705882352941</v>
      </c>
      <c r="N5" s="6">
        <f>$D5*IF($E5="South Side",Assumptions!$C$17,Assumptions!$C$18)</f>
        <v>8.2862523540489647E-2</v>
      </c>
      <c r="O5" s="7">
        <f t="shared" si="5"/>
        <v>0.11311053984575836</v>
      </c>
      <c r="P5" s="6">
        <f>$D5*IF($E5="Rockford Hills",Assumptions!$C$17,Assumptions!$C$18)</f>
        <v>8.2862523540489647E-2</v>
      </c>
      <c r="Q5" s="7">
        <f t="shared" si="6"/>
        <v>0.12171507607192256</v>
      </c>
    </row>
    <row r="6" spans="2:17" ht="34.200000000000003" customHeight="1" x14ac:dyDescent="0.3">
      <c r="B6" s="1" t="str">
        <f>Assumptions!B10</f>
        <v>Luxury High Sport</v>
      </c>
      <c r="C6" s="2">
        <f>Assumptions!C10</f>
        <v>2</v>
      </c>
      <c r="D6" s="3">
        <f t="shared" si="0"/>
        <v>4.519774011299435E-2</v>
      </c>
      <c r="E6" s="24" t="str">
        <f>Assumptions!E10</f>
        <v>Vinewood Hills</v>
      </c>
      <c r="F6" s="6">
        <f>$D6*IF($E6="Freeway",Assumptions!$C$17,Assumptions!$C$18)</f>
        <v>3.0131826741996232E-2</v>
      </c>
      <c r="G6" s="7">
        <f t="shared" si="1"/>
        <v>2.6490066225165559E-2</v>
      </c>
      <c r="H6" s="6">
        <f>$D6*IF($E6="Country",Assumptions!$C$17,Assumptions!$C$18)</f>
        <v>3.0131826741996232E-2</v>
      </c>
      <c r="I6" s="7">
        <f t="shared" si="2"/>
        <v>3.7296037296037303E-2</v>
      </c>
      <c r="J6" s="6">
        <f>$D6*IF($E6="Downtown",Assumptions!$C$17,Assumptions!$C$18)</f>
        <v>3.0131826741996232E-2</v>
      </c>
      <c r="K6" s="7">
        <f t="shared" si="3"/>
        <v>3.9119804400977995E-2</v>
      </c>
      <c r="L6" s="6">
        <f>$D6*IF($E6="Vinewood Hills",Assumptions!$C$17,Assumptions!$C$18)</f>
        <v>6.7796610169491525E-2</v>
      </c>
      <c r="M6" s="7">
        <f t="shared" si="4"/>
        <v>9.6256684491978606E-2</v>
      </c>
      <c r="N6" s="6">
        <f>$D6*IF($E6="South Side",Assumptions!$C$17,Assumptions!$C$18)</f>
        <v>3.0131826741996232E-2</v>
      </c>
      <c r="O6" s="7">
        <f t="shared" si="5"/>
        <v>4.1131105398457581E-2</v>
      </c>
      <c r="P6" s="6">
        <f>$D6*IF($E6="Rockford Hills",Assumptions!$C$17,Assumptions!$C$18)</f>
        <v>3.0131826741996232E-2</v>
      </c>
      <c r="Q6" s="7">
        <f t="shared" si="6"/>
        <v>4.4260027662517284E-2</v>
      </c>
    </row>
    <row r="7" spans="2:17" ht="34.200000000000003" customHeight="1" x14ac:dyDescent="0.3">
      <c r="B7" s="1" t="str">
        <f>Assumptions!B11</f>
        <v>Muscle</v>
      </c>
      <c r="C7" s="2">
        <f>Assumptions!C11</f>
        <v>3.5</v>
      </c>
      <c r="D7" s="3">
        <f t="shared" si="0"/>
        <v>7.909604519774012E-2</v>
      </c>
      <c r="E7" s="25" t="str">
        <f>Assumptions!E11</f>
        <v>South Side</v>
      </c>
      <c r="F7" s="6">
        <f>$D7*IF($E7="Freeway",Assumptions!$C$17,Assumptions!$C$18)</f>
        <v>5.2730696798493411E-2</v>
      </c>
      <c r="G7" s="7">
        <f t="shared" si="1"/>
        <v>4.6357615894039736E-2</v>
      </c>
      <c r="H7" s="6">
        <f>$D7*IF($E7="Country",Assumptions!$C$17,Assumptions!$C$18)</f>
        <v>5.2730696798493411E-2</v>
      </c>
      <c r="I7" s="7">
        <f t="shared" si="2"/>
        <v>6.5268065268065278E-2</v>
      </c>
      <c r="J7" s="6">
        <f>$D7*IF($E7="Downtown",Assumptions!$C$17,Assumptions!$C$18)</f>
        <v>5.2730696798493411E-2</v>
      </c>
      <c r="K7" s="7">
        <f t="shared" si="3"/>
        <v>6.8459657701711502E-2</v>
      </c>
      <c r="L7" s="6">
        <f>$D7*IF($E7="Vinewood Hills",Assumptions!$C$17,Assumptions!$C$18)</f>
        <v>5.2730696798493411E-2</v>
      </c>
      <c r="M7" s="7">
        <f t="shared" si="4"/>
        <v>7.4866310160427801E-2</v>
      </c>
      <c r="N7" s="6">
        <f>$D7*IF($E7="South Side",Assumptions!$C$17,Assumptions!$C$18)</f>
        <v>0.11864406779661019</v>
      </c>
      <c r="O7" s="7">
        <f t="shared" si="5"/>
        <v>0.16195372750642675</v>
      </c>
      <c r="P7" s="6">
        <f>$D7*IF($E7="Rockford Hills",Assumptions!$C$17,Assumptions!$C$18)</f>
        <v>5.2730696798493411E-2</v>
      </c>
      <c r="Q7" s="7">
        <f t="shared" si="6"/>
        <v>7.7455048409405258E-2</v>
      </c>
    </row>
    <row r="8" spans="2:17" ht="34.200000000000003" customHeight="1" x14ac:dyDescent="0.3">
      <c r="B8" s="1" t="str">
        <f>Assumptions!B12</f>
        <v>Super Cars</v>
      </c>
      <c r="C8" s="2">
        <f>Assumptions!C12</f>
        <v>0.75</v>
      </c>
      <c r="D8" s="3">
        <f t="shared" si="0"/>
        <v>1.6949152542372881E-2</v>
      </c>
      <c r="E8" s="26" t="str">
        <f>Assumptions!E12</f>
        <v>Rockford Hills</v>
      </c>
      <c r="F8" s="6">
        <f>$D8*IF($E8="Freeway",Assumptions!$C$17,Assumptions!$C$18)</f>
        <v>1.1299435028248588E-2</v>
      </c>
      <c r="G8" s="7">
        <f t="shared" si="1"/>
        <v>9.9337748344370848E-3</v>
      </c>
      <c r="H8" s="6">
        <f>$D8*IF($E8="Country",Assumptions!$C$17,Assumptions!$C$18)</f>
        <v>1.1299435028248588E-2</v>
      </c>
      <c r="I8" s="7">
        <f t="shared" si="2"/>
        <v>1.3986013986013988E-2</v>
      </c>
      <c r="J8" s="6">
        <f>$D8*IF($E8="Downtown",Assumptions!$C$17,Assumptions!$C$18)</f>
        <v>1.1299435028248588E-2</v>
      </c>
      <c r="K8" s="7">
        <f t="shared" si="3"/>
        <v>1.466992665036675E-2</v>
      </c>
      <c r="L8" s="6">
        <f>$D8*IF($E8="Vinewood Hills",Assumptions!$C$17,Assumptions!$C$18)</f>
        <v>1.1299435028248588E-2</v>
      </c>
      <c r="M8" s="7">
        <f t="shared" si="4"/>
        <v>1.60427807486631E-2</v>
      </c>
      <c r="N8" s="6">
        <f>$D8*IF($E8="South Side",Assumptions!$C$17,Assumptions!$C$18)</f>
        <v>1.1299435028248588E-2</v>
      </c>
      <c r="O8" s="7">
        <f t="shared" si="5"/>
        <v>1.5424164524421594E-2</v>
      </c>
      <c r="P8" s="6">
        <f>$D8*IF($E8="Rockford Hills",Assumptions!$C$17,Assumptions!$C$18)</f>
        <v>2.5423728813559324E-2</v>
      </c>
      <c r="Q8" s="7">
        <f t="shared" si="6"/>
        <v>3.7344398340248962E-2</v>
      </c>
    </row>
    <row r="9" spans="2:17" ht="19.2" customHeight="1" x14ac:dyDescent="0.3">
      <c r="B9" s="4"/>
      <c r="C9" s="2"/>
      <c r="D9" s="79"/>
      <c r="E9" s="4"/>
      <c r="F9" s="80"/>
      <c r="G9" s="8"/>
      <c r="H9" s="80"/>
      <c r="I9" s="8"/>
      <c r="J9" s="80"/>
      <c r="K9" s="8"/>
      <c r="L9" s="80"/>
      <c r="M9" s="7"/>
      <c r="N9" s="80"/>
      <c r="O9" s="7"/>
      <c r="P9" s="80"/>
      <c r="Q9" s="7"/>
    </row>
    <row r="10" spans="2:17" ht="34.200000000000003" customHeight="1" x14ac:dyDescent="0.3">
      <c r="B10" s="5" t="s">
        <v>12</v>
      </c>
      <c r="C10" s="2">
        <f>SUM(C3:C8)</f>
        <v>44.25</v>
      </c>
      <c r="D10" s="3">
        <f>SUM(D3:D8)</f>
        <v>1</v>
      </c>
      <c r="E10" s="2" t="s">
        <v>29</v>
      </c>
      <c r="F10" s="6">
        <f t="shared" ref="F10:Q10" si="7">SUM(F3:F8)</f>
        <v>1.1374764595103579</v>
      </c>
      <c r="G10" s="7">
        <f t="shared" si="7"/>
        <v>1</v>
      </c>
      <c r="H10" s="6">
        <f t="shared" si="7"/>
        <v>0.80790960451977389</v>
      </c>
      <c r="I10" s="7">
        <f t="shared" si="7"/>
        <v>1.0000000000000002</v>
      </c>
      <c r="J10" s="6">
        <f t="shared" si="7"/>
        <v>0.77024482109227865</v>
      </c>
      <c r="K10" s="7">
        <f t="shared" si="7"/>
        <v>1</v>
      </c>
      <c r="L10" s="6">
        <f t="shared" si="7"/>
        <v>0.70433145009416198</v>
      </c>
      <c r="M10" s="7">
        <f t="shared" si="7"/>
        <v>0.99999999999999978</v>
      </c>
      <c r="N10" s="6">
        <f t="shared" si="7"/>
        <v>0.73258003766478341</v>
      </c>
      <c r="O10" s="7">
        <f t="shared" si="7"/>
        <v>1</v>
      </c>
      <c r="P10" s="6">
        <f t="shared" si="7"/>
        <v>0.6807909604519774</v>
      </c>
      <c r="Q10" s="7">
        <f t="shared" si="7"/>
        <v>0.99999999999999989</v>
      </c>
    </row>
  </sheetData>
  <phoneticPr fontId="5" type="noConversion"/>
  <conditionalFormatting sqref="G3:G8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{0935FEB3-5B24-4D75-8265-EB8255B50643}</x14:id>
        </ext>
      </extLst>
    </cfRule>
  </conditionalFormatting>
  <conditionalFormatting sqref="I3:I8">
    <cfRule type="dataBar" priority="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{BA5841D0-39FD-4FC9-88AB-416F2C26B234}</x14:id>
        </ext>
      </extLst>
    </cfRule>
  </conditionalFormatting>
  <conditionalFormatting sqref="K3:K8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{1325DD95-E999-44EC-BA4A-8226D83A7921}</x14:id>
        </ext>
      </extLst>
    </cfRule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{5521796F-58DE-45E0-B780-BBBC5526A233}</x14:id>
        </ext>
      </extLst>
    </cfRule>
  </conditionalFormatting>
  <conditionalFormatting sqref="M3:M8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{BFE5CF13-DE41-48E9-A22F-97747ADACF29}</x14:id>
        </ext>
      </extLst>
    </cfRule>
  </conditionalFormatting>
  <conditionalFormatting sqref="O3:O8">
    <cfRule type="dataBar" priority="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{CBF1860C-E8CA-498E-90D4-2FA4873BC582}</x14:id>
        </ext>
      </extLst>
    </cfRule>
  </conditionalFormatting>
  <conditionalFormatting sqref="Q3:Q8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{7BF7C0DB-6760-4357-A4BC-9605DBDB2882}</x14:id>
        </ext>
      </extLst>
    </cfRule>
  </conditionalFormatting>
  <pageMargins left="0.25" right="0.25" top="0.75" bottom="0.75" header="0.3" footer="0.3"/>
  <pageSetup paperSize="3" scale="56" orientation="landscape" horizontalDpi="1200" verticalDpi="1200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935FEB3-5B24-4D75-8265-EB8255B50643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G3:G8</xm:sqref>
        </x14:conditionalFormatting>
        <x14:conditionalFormatting xmlns:xm="http://schemas.microsoft.com/office/excel/2006/main">
          <x14:cfRule type="dataBar" id="{BA5841D0-39FD-4FC9-88AB-416F2C26B23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I3:I8</xm:sqref>
        </x14:conditionalFormatting>
        <x14:conditionalFormatting xmlns:xm="http://schemas.microsoft.com/office/excel/2006/main">
          <x14:cfRule type="dataBar" id="{1325DD95-E999-44EC-BA4A-8226D83A792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521796F-58DE-45E0-B780-BBBC5526A23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K3:K8</xm:sqref>
        </x14:conditionalFormatting>
        <x14:conditionalFormatting xmlns:xm="http://schemas.microsoft.com/office/excel/2006/main">
          <x14:cfRule type="dataBar" id="{BFE5CF13-DE41-48E9-A22F-97747ADACF2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M3:M8</xm:sqref>
        </x14:conditionalFormatting>
        <x14:conditionalFormatting xmlns:xm="http://schemas.microsoft.com/office/excel/2006/main">
          <x14:cfRule type="dataBar" id="{CBF1860C-E8CA-498E-90D4-2FA4873BC582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O3:O8</xm:sqref>
        </x14:conditionalFormatting>
        <x14:conditionalFormatting xmlns:xm="http://schemas.microsoft.com/office/excel/2006/main">
          <x14:cfRule type="dataBar" id="{7BF7C0DB-6760-4357-A4BC-9605DBDB288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Q3:Q8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08FEF-304A-4B43-AE72-67CDB647725C}">
  <sheetPr>
    <pageSetUpPr fitToPage="1"/>
  </sheetPr>
  <dimension ref="C23:U52"/>
  <sheetViews>
    <sheetView showGridLines="0" topLeftCell="A8" zoomScale="115" zoomScaleNormal="115" workbookViewId="0"/>
  </sheetViews>
  <sheetFormatPr defaultRowHeight="14.4" x14ac:dyDescent="0.3"/>
  <cols>
    <col min="4" max="4" width="7.33203125" customWidth="1"/>
    <col min="6" max="6" width="13.21875" customWidth="1"/>
    <col min="7" max="7" width="10" customWidth="1"/>
    <col min="8" max="8" width="11" customWidth="1"/>
    <col min="9" max="9" width="16.44140625" customWidth="1"/>
    <col min="11" max="11" width="8.88671875" customWidth="1"/>
    <col min="12" max="15" width="10.33203125" customWidth="1"/>
    <col min="16" max="21" width="15.109375" customWidth="1"/>
  </cols>
  <sheetData>
    <row r="23" spans="3:21" x14ac:dyDescent="0.3">
      <c r="C23" s="43" t="str">
        <f>"Total Missions: "&amp;Assumptions!C33</f>
        <v>Total Missions: 58</v>
      </c>
    </row>
    <row r="25" spans="3:21" ht="15" thickBot="1" x14ac:dyDescent="0.35">
      <c r="C25" s="29" t="s">
        <v>30</v>
      </c>
      <c r="E25" s="28">
        <f>Assumptions!C22</f>
        <v>15</v>
      </c>
      <c r="F25" s="29" t="s">
        <v>31</v>
      </c>
    </row>
    <row r="26" spans="3:21" ht="43.8" thickBot="1" x14ac:dyDescent="0.35">
      <c r="C26" t="s">
        <v>32</v>
      </c>
      <c r="E26" s="28">
        <f>Assumptions!C23</f>
        <v>48</v>
      </c>
      <c r="F26" t="s">
        <v>31</v>
      </c>
      <c r="L26" s="31" t="s">
        <v>0</v>
      </c>
      <c r="M26" s="31" t="s">
        <v>35</v>
      </c>
      <c r="N26" s="31" t="s">
        <v>5</v>
      </c>
      <c r="O26" s="31" t="s">
        <v>6</v>
      </c>
      <c r="P26" s="32" t="s">
        <v>14</v>
      </c>
      <c r="Q26" s="33" t="s">
        <v>16</v>
      </c>
      <c r="R26" s="34" t="s">
        <v>23</v>
      </c>
      <c r="S26" s="35" t="s">
        <v>24</v>
      </c>
      <c r="T26" s="36" t="s">
        <v>26</v>
      </c>
      <c r="U26" s="37" t="s">
        <v>28</v>
      </c>
    </row>
    <row r="27" spans="3:21" ht="30" customHeight="1" x14ac:dyDescent="0.3">
      <c r="G27" s="56" t="s">
        <v>127</v>
      </c>
      <c r="H27" s="56" t="s">
        <v>128</v>
      </c>
      <c r="L27" s="38" t="str">
        <f>'1. Vehicle Mix by Area'!B3</f>
        <v>Sedan/SUV</v>
      </c>
      <c r="M27" s="38">
        <f>Assumptions!D7</f>
        <v>1</v>
      </c>
      <c r="N27" s="39">
        <f>'1. Vehicle Mix by Area'!D3</f>
        <v>0.56497175141242939</v>
      </c>
      <c r="O27" s="21" t="str">
        <f>'1. Vehicle Mix by Area'!E3</f>
        <v>Freeway</v>
      </c>
      <c r="P27" s="40">
        <f>'1. Vehicle Mix by Area'!G3</f>
        <v>0.74503311258278138</v>
      </c>
      <c r="Q27" s="40">
        <f>'1. Vehicle Mix by Area'!I3</f>
        <v>0.46620046620046623</v>
      </c>
      <c r="R27" s="40">
        <f>'1. Vehicle Mix by Area'!K3</f>
        <v>0.48899755501222497</v>
      </c>
      <c r="S27" s="40">
        <f>'1. Vehicle Mix by Area'!M3</f>
        <v>0.53475935828876997</v>
      </c>
      <c r="T27" s="40">
        <f>'1. Vehicle Mix by Area'!O3</f>
        <v>0.51413881748071977</v>
      </c>
      <c r="U27" s="40">
        <f>'1. Vehicle Mix by Area'!Q3</f>
        <v>0.55325034578146615</v>
      </c>
    </row>
    <row r="28" spans="3:21" ht="30" customHeight="1" x14ac:dyDescent="0.3">
      <c r="C28" s="43" t="s">
        <v>33</v>
      </c>
      <c r="F28" s="21" t="s">
        <v>7</v>
      </c>
      <c r="G28">
        <f>Assumptions!C27</f>
        <v>0</v>
      </c>
      <c r="H28" s="41">
        <f>G28/Assumptions!$C$33</f>
        <v>0</v>
      </c>
      <c r="L28" s="1" t="str">
        <f>'1. Vehicle Mix by Area'!B4</f>
        <v>Off Road</v>
      </c>
      <c r="M28" s="1">
        <f>Assumptions!D8</f>
        <v>1.4</v>
      </c>
      <c r="N28" s="3">
        <f>'1. Vehicle Mix by Area'!D4</f>
        <v>0.16949152542372881</v>
      </c>
      <c r="O28" s="22" t="str">
        <f>'1. Vehicle Mix by Area'!E4</f>
        <v>Country</v>
      </c>
      <c r="P28" s="7">
        <f>'1. Vehicle Mix by Area'!G4</f>
        <v>9.9337748344370841E-2</v>
      </c>
      <c r="Q28" s="7">
        <f>'1. Vehicle Mix by Area'!I4</f>
        <v>0.31468531468531474</v>
      </c>
      <c r="R28" s="7">
        <f>'1. Vehicle Mix by Area'!K4</f>
        <v>0.14669926650366746</v>
      </c>
      <c r="S28" s="7">
        <f>'1. Vehicle Mix by Area'!M4</f>
        <v>0.16042780748663099</v>
      </c>
      <c r="T28" s="7">
        <f>'1. Vehicle Mix by Area'!O4</f>
        <v>0.15424164524421594</v>
      </c>
      <c r="U28" s="7">
        <f>'1. Vehicle Mix by Area'!Q4</f>
        <v>0.1659751037344398</v>
      </c>
    </row>
    <row r="29" spans="3:21" ht="30" customHeight="1" x14ac:dyDescent="0.3">
      <c r="F29" s="22" t="s">
        <v>8</v>
      </c>
      <c r="G29">
        <f>Assumptions!C28</f>
        <v>24</v>
      </c>
      <c r="H29" s="41">
        <f>G29/Assumptions!$C$33</f>
        <v>0.41379310344827586</v>
      </c>
      <c r="L29" s="38" t="str">
        <f>'1. Vehicle Mix by Area'!B5</f>
        <v>Sport</v>
      </c>
      <c r="M29" s="38">
        <f>Assumptions!D9</f>
        <v>1.8</v>
      </c>
      <c r="N29" s="39">
        <f>'1. Vehicle Mix by Area'!D5</f>
        <v>0.12429378531073447</v>
      </c>
      <c r="O29" s="23" t="str">
        <f>'1. Vehicle Mix by Area'!E5</f>
        <v>Downtown</v>
      </c>
      <c r="P29" s="40">
        <f>'1. Vehicle Mix by Area'!G5</f>
        <v>7.2847682119205295E-2</v>
      </c>
      <c r="Q29" s="40">
        <f>'1. Vehicle Mix by Area'!I5</f>
        <v>0.10256410256410259</v>
      </c>
      <c r="R29" s="40">
        <f>'1. Vehicle Mix by Area'!K5</f>
        <v>0.24205378973105138</v>
      </c>
      <c r="S29" s="40">
        <f>'1. Vehicle Mix by Area'!M5</f>
        <v>0.11764705882352941</v>
      </c>
      <c r="T29" s="40">
        <f>'1. Vehicle Mix by Area'!O5</f>
        <v>0.11311053984575836</v>
      </c>
      <c r="U29" s="40">
        <f>'1. Vehicle Mix by Area'!Q5</f>
        <v>0.12171507607192256</v>
      </c>
    </row>
    <row r="30" spans="3:21" ht="30" customHeight="1" x14ac:dyDescent="0.3">
      <c r="F30" s="23" t="s">
        <v>9</v>
      </c>
      <c r="G30">
        <f>Assumptions!C29</f>
        <v>14</v>
      </c>
      <c r="H30" s="41">
        <f>G30/Assumptions!$C$33</f>
        <v>0.2413793103448276</v>
      </c>
      <c r="L30" s="1" t="str">
        <f>'1. Vehicle Mix by Area'!B6</f>
        <v>Luxury High Sport</v>
      </c>
      <c r="M30" s="1">
        <f>Assumptions!D10</f>
        <v>2.2000000000000002</v>
      </c>
      <c r="N30" s="3">
        <f>'1. Vehicle Mix by Area'!D6</f>
        <v>4.519774011299435E-2</v>
      </c>
      <c r="O30" s="24" t="str">
        <f>'1. Vehicle Mix by Area'!E6</f>
        <v>Vinewood Hills</v>
      </c>
      <c r="P30" s="7">
        <f>'1. Vehicle Mix by Area'!G6</f>
        <v>2.6490066225165559E-2</v>
      </c>
      <c r="Q30" s="7">
        <f>'1. Vehicle Mix by Area'!I6</f>
        <v>3.7296037296037303E-2</v>
      </c>
      <c r="R30" s="7">
        <f>'1. Vehicle Mix by Area'!K6</f>
        <v>3.9119804400977995E-2</v>
      </c>
      <c r="S30" s="7">
        <f>'1. Vehicle Mix by Area'!M6</f>
        <v>9.6256684491978606E-2</v>
      </c>
      <c r="T30" s="7">
        <f>'1. Vehicle Mix by Area'!O6</f>
        <v>4.1131105398457581E-2</v>
      </c>
      <c r="U30" s="7">
        <f>'1. Vehicle Mix by Area'!Q6</f>
        <v>4.4260027662517284E-2</v>
      </c>
    </row>
    <row r="31" spans="3:21" ht="30" customHeight="1" x14ac:dyDescent="0.3">
      <c r="F31" s="24" t="s">
        <v>10</v>
      </c>
      <c r="G31">
        <f>Assumptions!C30</f>
        <v>10</v>
      </c>
      <c r="H31" s="41">
        <f>G31/Assumptions!$C$33</f>
        <v>0.17241379310344829</v>
      </c>
      <c r="L31" s="38" t="str">
        <f>'1. Vehicle Mix by Area'!B7</f>
        <v>Muscle</v>
      </c>
      <c r="M31" s="38">
        <f>Assumptions!D11</f>
        <v>1.7</v>
      </c>
      <c r="N31" s="39">
        <f>'1. Vehicle Mix by Area'!D7</f>
        <v>7.909604519774012E-2</v>
      </c>
      <c r="O31" s="25" t="str">
        <f>'1. Vehicle Mix by Area'!E7</f>
        <v>South Side</v>
      </c>
      <c r="P31" s="40">
        <f>'1. Vehicle Mix by Area'!G7</f>
        <v>4.6357615894039736E-2</v>
      </c>
      <c r="Q31" s="40">
        <f>'1. Vehicle Mix by Area'!I7</f>
        <v>6.5268065268065278E-2</v>
      </c>
      <c r="R31" s="40">
        <f>'1. Vehicle Mix by Area'!K7</f>
        <v>6.8459657701711502E-2</v>
      </c>
      <c r="S31" s="40">
        <f>'1. Vehicle Mix by Area'!M7</f>
        <v>7.4866310160427801E-2</v>
      </c>
      <c r="T31" s="40">
        <f>'1. Vehicle Mix by Area'!O7</f>
        <v>0.16195372750642675</v>
      </c>
      <c r="U31" s="40">
        <f>'1. Vehicle Mix by Area'!Q7</f>
        <v>7.7455048409405258E-2</v>
      </c>
    </row>
    <row r="32" spans="3:21" ht="30" customHeight="1" x14ac:dyDescent="0.3">
      <c r="F32" s="30" t="s">
        <v>11</v>
      </c>
      <c r="G32">
        <f>Assumptions!C31</f>
        <v>7</v>
      </c>
      <c r="H32" s="41">
        <f>G32/Assumptions!$C$33</f>
        <v>0.1206896551724138</v>
      </c>
      <c r="L32" s="1" t="str">
        <f>'1. Vehicle Mix by Area'!B8</f>
        <v>Super Cars</v>
      </c>
      <c r="M32" s="1">
        <f>Assumptions!D12</f>
        <v>2.6</v>
      </c>
      <c r="N32" s="3">
        <f>'1. Vehicle Mix by Area'!D8</f>
        <v>1.6949152542372881E-2</v>
      </c>
      <c r="O32" s="26" t="str">
        <f>'1. Vehicle Mix by Area'!E8</f>
        <v>Rockford Hills</v>
      </c>
      <c r="P32" s="7">
        <f>'1. Vehicle Mix by Area'!G8</f>
        <v>9.9337748344370848E-3</v>
      </c>
      <c r="Q32" s="7">
        <f>'1. Vehicle Mix by Area'!I8</f>
        <v>1.3986013986013988E-2</v>
      </c>
      <c r="R32" s="7">
        <f>'1. Vehicle Mix by Area'!K8</f>
        <v>1.466992665036675E-2</v>
      </c>
      <c r="S32" s="7">
        <f>'1. Vehicle Mix by Area'!M8</f>
        <v>1.60427807486631E-2</v>
      </c>
      <c r="T32" s="7">
        <f>'1. Vehicle Mix by Area'!O8</f>
        <v>1.5424164524421594E-2</v>
      </c>
      <c r="U32" s="7">
        <f>'1. Vehicle Mix by Area'!Q8</f>
        <v>3.7344398340248962E-2</v>
      </c>
    </row>
    <row r="33" spans="3:18" ht="24" customHeight="1" x14ac:dyDescent="0.3">
      <c r="F33" s="26" t="s">
        <v>19</v>
      </c>
      <c r="G33">
        <f>Assumptions!C32</f>
        <v>3</v>
      </c>
      <c r="H33" s="41">
        <f>G33/Assumptions!$C$33</f>
        <v>5.1724137931034482E-2</v>
      </c>
    </row>
    <row r="34" spans="3:18" x14ac:dyDescent="0.3">
      <c r="K34" s="43" t="s">
        <v>41</v>
      </c>
      <c r="L34" s="43"/>
      <c r="M34" s="43" t="s">
        <v>7</v>
      </c>
      <c r="N34" s="43" t="s">
        <v>8</v>
      </c>
      <c r="O34" s="43" t="s">
        <v>9</v>
      </c>
      <c r="P34" s="43" t="s">
        <v>43</v>
      </c>
      <c r="Q34" s="43" t="s">
        <v>42</v>
      </c>
      <c r="R34" s="43" t="s">
        <v>44</v>
      </c>
    </row>
    <row r="35" spans="3:18" x14ac:dyDescent="0.3">
      <c r="K35" s="43" t="s">
        <v>125</v>
      </c>
      <c r="M35" s="45">
        <f>SUMPRODUCT(M27:M32, P27:P32)</f>
        <v>1.1781456953642384</v>
      </c>
      <c r="N35" s="45">
        <f>SUMPRODUCT(M27:M32, Q27:Q32)</f>
        <v>1.3207459207459207</v>
      </c>
      <c r="O35" s="45">
        <f>SUMPRODUCT(M27:M32, R27:R32)</f>
        <v>1.3706601466992667</v>
      </c>
      <c r="P35" s="45">
        <f>SUMPRODUCT(M27:M32, S27:S32)</f>
        <v>1.3518716577540106</v>
      </c>
      <c r="Q35" s="45">
        <f>SUMPRODUCT(M27:M32, T27:T32)</f>
        <v>1.3395886889460153</v>
      </c>
      <c r="R35" s="45">
        <f>SUMPRODUCT(M27:M32, U27:U32)</f>
        <v>1.3308437067773169</v>
      </c>
    </row>
    <row r="36" spans="3:18" x14ac:dyDescent="0.3">
      <c r="C36" s="43" t="s">
        <v>34</v>
      </c>
      <c r="D36" s="43"/>
      <c r="E36" s="43" t="s">
        <v>35</v>
      </c>
      <c r="F36" s="43"/>
      <c r="K36" s="43"/>
    </row>
    <row r="37" spans="3:18" x14ac:dyDescent="0.3">
      <c r="C37" t="str">
        <f>Assumptions!B7</f>
        <v>Sedan/SUV</v>
      </c>
      <c r="E37">
        <f>Assumptions!D7</f>
        <v>1</v>
      </c>
      <c r="F37" t="str">
        <f>Assumptions!G7</f>
        <v>General traffic to avoid, slower moving</v>
      </c>
      <c r="K37" s="43" t="s">
        <v>76</v>
      </c>
      <c r="M37" s="42">
        <f>H28*M35</f>
        <v>0</v>
      </c>
      <c r="N37" s="41">
        <f>H29*N35</f>
        <v>0.54651555341210512</v>
      </c>
      <c r="O37" s="41">
        <f>H30*O35</f>
        <v>0.33084900092740921</v>
      </c>
      <c r="P37" s="41">
        <f>H31*P35</f>
        <v>0.23308132030241563</v>
      </c>
      <c r="Q37" s="41">
        <f>H32*Q35</f>
        <v>0.16167449694176048</v>
      </c>
      <c r="R37" s="41">
        <f>H33*R35</f>
        <v>6.883674345399915E-2</v>
      </c>
    </row>
    <row r="38" spans="3:18" x14ac:dyDescent="0.3">
      <c r="C38" t="str">
        <f>Assumptions!B8</f>
        <v>Off Road</v>
      </c>
      <c r="E38">
        <f>Assumptions!D8</f>
        <v>1.4</v>
      </c>
      <c r="F38" t="str">
        <f>Assumptions!G8</f>
        <v>Bulkier vehicles, slower moving</v>
      </c>
      <c r="K38" s="92" t="s">
        <v>126</v>
      </c>
    </row>
    <row r="39" spans="3:18" x14ac:dyDescent="0.3">
      <c r="C39" t="str">
        <f>Assumptions!B9</f>
        <v>Sport</v>
      </c>
      <c r="E39">
        <f>Assumptions!D9</f>
        <v>1.8</v>
      </c>
      <c r="F39" t="str">
        <f>Assumptions!G9</f>
        <v>Faster, aggressive drivers</v>
      </c>
    </row>
    <row r="40" spans="3:18" x14ac:dyDescent="0.3">
      <c r="C40" t="str">
        <f>Assumptions!B10</f>
        <v>Luxury High Sport</v>
      </c>
      <c r="E40">
        <f>Assumptions!D10</f>
        <v>2.2000000000000002</v>
      </c>
      <c r="F40" t="str">
        <f>Assumptions!G10</f>
        <v>Expensive vehicles; collisions put bounties on the player</v>
      </c>
    </row>
    <row r="41" spans="3:18" x14ac:dyDescent="0.3">
      <c r="C41" t="str">
        <f>Assumptions!B11</f>
        <v>Muscle</v>
      </c>
      <c r="E41">
        <f>Assumptions!D11</f>
        <v>1.7</v>
      </c>
      <c r="F41" t="str">
        <f>Assumptions!G11</f>
        <v>Aggressive drivers</v>
      </c>
    </row>
    <row r="42" spans="3:18" x14ac:dyDescent="0.3">
      <c r="C42" t="str">
        <f>Assumptions!B12</f>
        <v>Super Cars</v>
      </c>
      <c r="E42">
        <f>Assumptions!D12</f>
        <v>2.6</v>
      </c>
      <c r="F42" t="str">
        <f>Assumptions!G12</f>
        <v>Most aggressive; largest bounties</v>
      </c>
    </row>
    <row r="43" spans="3:18" x14ac:dyDescent="0.3">
      <c r="E43" t="s">
        <v>45</v>
      </c>
    </row>
    <row r="45" spans="3:18" x14ac:dyDescent="0.3">
      <c r="L45" t="s">
        <v>45</v>
      </c>
    </row>
    <row r="46" spans="3:18" x14ac:dyDescent="0.3">
      <c r="C46" t="s">
        <v>129</v>
      </c>
      <c r="F46" t="s">
        <v>60</v>
      </c>
      <c r="G46" t="s">
        <v>75</v>
      </c>
      <c r="H46" t="s">
        <v>76</v>
      </c>
    </row>
    <row r="47" spans="3:18" ht="18" customHeight="1" x14ac:dyDescent="0.3">
      <c r="F47" s="21" t="s">
        <v>7</v>
      </c>
      <c r="G47" s="41">
        <f t="shared" ref="G47:G52" si="0">H28</f>
        <v>0</v>
      </c>
      <c r="H47" s="41" cm="1">
        <f t="array" ref="H47">Table6[[#This Row],[Mission %]]*INDEX($M$35:$R$35,ROW()-ROW(Table6[#Headers]))</f>
        <v>0</v>
      </c>
    </row>
    <row r="48" spans="3:18" ht="18" customHeight="1" x14ac:dyDescent="0.3">
      <c r="F48" s="22" t="s">
        <v>8</v>
      </c>
      <c r="G48" s="41">
        <f t="shared" si="0"/>
        <v>0.41379310344827586</v>
      </c>
      <c r="H48" s="41" cm="1">
        <f t="array" ref="H48">Table6[[#This Row],[Mission %]]*INDEX($M$35:$R$35,ROW()-ROW(Table6[#Headers]))</f>
        <v>0.54651555341210512</v>
      </c>
    </row>
    <row r="49" spans="6:8" ht="18" customHeight="1" x14ac:dyDescent="0.3">
      <c r="F49" s="23" t="s">
        <v>9</v>
      </c>
      <c r="G49" s="41">
        <f t="shared" si="0"/>
        <v>0.2413793103448276</v>
      </c>
      <c r="H49" s="41" cm="1">
        <f t="array" ref="H49">Table6[[#This Row],[Mission %]]*INDEX($M$35:$R$35,ROW()-ROW(Table6[#Headers]))</f>
        <v>0.33084900092740921</v>
      </c>
    </row>
    <row r="50" spans="6:8" ht="18" customHeight="1" x14ac:dyDescent="0.3">
      <c r="F50" s="24" t="s">
        <v>10</v>
      </c>
      <c r="G50" s="41">
        <f t="shared" si="0"/>
        <v>0.17241379310344829</v>
      </c>
      <c r="H50" s="41" cm="1">
        <f t="array" ref="H50">Table6[[#This Row],[Mission %]]*INDEX($M$35:$R$35,ROW()-ROW(Table6[#Headers]))</f>
        <v>0.23308132030241563</v>
      </c>
    </row>
    <row r="51" spans="6:8" ht="18" customHeight="1" x14ac:dyDescent="0.3">
      <c r="F51" s="30" t="s">
        <v>11</v>
      </c>
      <c r="G51" s="41">
        <f t="shared" si="0"/>
        <v>0.1206896551724138</v>
      </c>
      <c r="H51" s="41" cm="1">
        <f t="array" ref="H51">Table6[[#This Row],[Mission %]]*INDEX($M$35:$R$35,ROW()-ROW(Table6[#Headers]))</f>
        <v>0.16167449694176048</v>
      </c>
    </row>
    <row r="52" spans="6:8" ht="18" customHeight="1" x14ac:dyDescent="0.3">
      <c r="F52" s="26" t="s">
        <v>19</v>
      </c>
      <c r="G52" s="41">
        <f t="shared" si="0"/>
        <v>5.1724137931034482E-2</v>
      </c>
      <c r="H52" s="41" cm="1">
        <f t="array" ref="H52">Table6[[#This Row],[Mission %]]*INDEX($M$35:$R$35,ROW()-ROW(Table6[#Headers]))</f>
        <v>6.883674345399915E-2</v>
      </c>
    </row>
  </sheetData>
  <conditionalFormatting sqref="P27:P32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{2EE37AB8-17C4-46EC-86C8-D0DEA4008E85}</x14:id>
        </ext>
      </extLst>
    </cfRule>
  </conditionalFormatting>
  <conditionalFormatting sqref="Q27:Q32">
    <cfRule type="dataBar" priority="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{35774030-59EB-4A03-B9E6-34E3FAD36DF0}</x14:id>
        </ext>
      </extLst>
    </cfRule>
  </conditionalFormatting>
  <conditionalFormatting sqref="R27:R32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{4FC5286C-3204-4DF0-BE85-BF4B88E9E937}</x14:id>
        </ext>
      </extLst>
    </cfRule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{67A90CB0-1098-4649-B690-CFBABA32963F}</x14:id>
        </ext>
      </extLst>
    </cfRule>
  </conditionalFormatting>
  <conditionalFormatting sqref="S27:S32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{C8F4C10C-C19B-43E3-8FCC-26E0C8865070}</x14:id>
        </ext>
      </extLst>
    </cfRule>
  </conditionalFormatting>
  <conditionalFormatting sqref="T27:T32">
    <cfRule type="dataBar" priority="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{3605A977-5760-4E15-BF9E-AA14D575440F}</x14:id>
        </ext>
      </extLst>
    </cfRule>
  </conditionalFormatting>
  <conditionalFormatting sqref="U27:U32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{EF80E159-8A68-4D16-B7FC-870C5F17CC54}</x14:id>
        </ext>
      </extLst>
    </cfRule>
  </conditionalFormatting>
  <pageMargins left="0.25" right="0.25" top="0.75" bottom="0.75" header="0.3" footer="0.3"/>
  <pageSetup paperSize="3" scale="71" orientation="landscape" horizontalDpi="1200" verticalDpi="1200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E37AB8-17C4-46EC-86C8-D0DEA4008E8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P27:P32</xm:sqref>
        </x14:conditionalFormatting>
        <x14:conditionalFormatting xmlns:xm="http://schemas.microsoft.com/office/excel/2006/main">
          <x14:cfRule type="dataBar" id="{35774030-59EB-4A03-B9E6-34E3FAD36DF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Q27:Q32</xm:sqref>
        </x14:conditionalFormatting>
        <x14:conditionalFormatting xmlns:xm="http://schemas.microsoft.com/office/excel/2006/main">
          <x14:cfRule type="dataBar" id="{4FC5286C-3204-4DF0-BE85-BF4B88E9E93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7A90CB0-1098-4649-B690-CFBABA32963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R27:R32</xm:sqref>
        </x14:conditionalFormatting>
        <x14:conditionalFormatting xmlns:xm="http://schemas.microsoft.com/office/excel/2006/main">
          <x14:cfRule type="dataBar" id="{C8F4C10C-C19B-43E3-8FCC-26E0C886507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S27:S32</xm:sqref>
        </x14:conditionalFormatting>
        <x14:conditionalFormatting xmlns:xm="http://schemas.microsoft.com/office/excel/2006/main">
          <x14:cfRule type="dataBar" id="{3605A977-5760-4E15-BF9E-AA14D575440F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T27:T32</xm:sqref>
        </x14:conditionalFormatting>
        <x14:conditionalFormatting xmlns:xm="http://schemas.microsoft.com/office/excel/2006/main">
          <x14:cfRule type="dataBar" id="{EF80E159-8A68-4D16-B7FC-870C5F17CC54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U27:U32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0D442-2865-4449-B6B3-8AFF9646A0A7}">
  <sheetPr>
    <pageSetUpPr fitToPage="1"/>
  </sheetPr>
  <dimension ref="A3:O49"/>
  <sheetViews>
    <sheetView showGridLines="0" topLeftCell="A14" zoomScaleNormal="100" workbookViewId="0">
      <selection activeCell="Z30" sqref="Z30"/>
    </sheetView>
  </sheetViews>
  <sheetFormatPr defaultRowHeight="14.4" x14ac:dyDescent="0.3"/>
  <cols>
    <col min="2" max="7" width="10.5546875" customWidth="1"/>
    <col min="8" max="8" width="12.77734375" customWidth="1"/>
    <col min="9" max="9" width="15.5546875" customWidth="1"/>
    <col min="10" max="10" width="13.33203125" customWidth="1"/>
    <col min="11" max="11" width="18.33203125" customWidth="1"/>
    <col min="12" max="12" width="10.5546875" customWidth="1"/>
    <col min="13" max="13" width="20" customWidth="1"/>
    <col min="14" max="14" width="12.77734375" customWidth="1"/>
    <col min="15" max="15" width="21.6640625" customWidth="1"/>
    <col min="17" max="17" width="4.44140625" customWidth="1"/>
  </cols>
  <sheetData>
    <row r="3" spans="2:15" x14ac:dyDescent="0.3">
      <c r="J3" s="43"/>
      <c r="K3" s="43"/>
    </row>
    <row r="4" spans="2:15" ht="28.8" x14ac:dyDescent="0.3">
      <c r="I4" t="s">
        <v>124</v>
      </c>
      <c r="J4" t="s">
        <v>66</v>
      </c>
      <c r="K4" t="s">
        <v>60</v>
      </c>
      <c r="L4" t="s">
        <v>112</v>
      </c>
      <c r="M4" s="44" t="s">
        <v>50</v>
      </c>
      <c r="N4" t="s">
        <v>51</v>
      </c>
      <c r="O4" t="s">
        <v>74</v>
      </c>
    </row>
    <row r="5" spans="2:15" x14ac:dyDescent="0.3">
      <c r="I5" t="s">
        <v>47</v>
      </c>
      <c r="J5" t="s">
        <v>48</v>
      </c>
      <c r="K5" t="s">
        <v>7</v>
      </c>
      <c r="L5" s="45">
        <f>Assumptions!D27</f>
        <v>0</v>
      </c>
      <c r="M5" s="45">
        <f>1+Assumptions!$C$21*L5</f>
        <v>1</v>
      </c>
      <c r="N5" s="45">
        <f>Assumptions!E27</f>
        <v>1</v>
      </c>
      <c r="O5" s="45">
        <f t="shared" ref="O5:O10" si="0">M5*N5</f>
        <v>1</v>
      </c>
    </row>
    <row r="6" spans="2:15" x14ac:dyDescent="0.3">
      <c r="J6" t="s">
        <v>1</v>
      </c>
      <c r="K6" t="s">
        <v>8</v>
      </c>
      <c r="L6" s="45">
        <f>Assumptions!D28</f>
        <v>0.3</v>
      </c>
      <c r="M6" s="45">
        <f>1+Assumptions!$C$21*L6</f>
        <v>1.1499999999999999</v>
      </c>
      <c r="N6" s="45">
        <f>Assumptions!E28</f>
        <v>0.7</v>
      </c>
      <c r="O6" s="45">
        <f t="shared" si="0"/>
        <v>0.80499999999999994</v>
      </c>
    </row>
    <row r="7" spans="2:15" x14ac:dyDescent="0.3">
      <c r="K7" t="s">
        <v>9</v>
      </c>
      <c r="L7" s="45">
        <f>Assumptions!D29</f>
        <v>0.6</v>
      </c>
      <c r="M7" s="45">
        <f>1+Assumptions!$C$21*L7</f>
        <v>1.3</v>
      </c>
      <c r="N7" s="45">
        <f>Assumptions!E29</f>
        <v>0.95</v>
      </c>
      <c r="O7" s="45">
        <f t="shared" si="0"/>
        <v>1.2349999999999999</v>
      </c>
    </row>
    <row r="8" spans="2:15" x14ac:dyDescent="0.3">
      <c r="I8" t="s">
        <v>49</v>
      </c>
      <c r="J8" t="s">
        <v>17</v>
      </c>
      <c r="K8" t="s">
        <v>43</v>
      </c>
      <c r="L8" s="45">
        <f>Assumptions!D30</f>
        <v>0.5</v>
      </c>
      <c r="M8" s="45">
        <f>1+Assumptions!$C$21*L8</f>
        <v>1.25</v>
      </c>
      <c r="N8" s="45">
        <f>Assumptions!E30</f>
        <v>0.9</v>
      </c>
      <c r="O8" s="45">
        <f t="shared" si="0"/>
        <v>1.125</v>
      </c>
    </row>
    <row r="9" spans="2:15" x14ac:dyDescent="0.3">
      <c r="J9" t="s">
        <v>18</v>
      </c>
      <c r="K9" t="s">
        <v>42</v>
      </c>
      <c r="L9" s="45">
        <f>Assumptions!D31</f>
        <v>0.7</v>
      </c>
      <c r="M9" s="45">
        <f>1+Assumptions!$C$21*L9</f>
        <v>1.35</v>
      </c>
      <c r="N9" s="45">
        <f>Assumptions!E31</f>
        <v>0.8</v>
      </c>
      <c r="O9" s="45">
        <f t="shared" si="0"/>
        <v>1.08</v>
      </c>
    </row>
    <row r="10" spans="2:15" x14ac:dyDescent="0.3">
      <c r="J10" t="s">
        <v>36</v>
      </c>
      <c r="K10" t="s">
        <v>44</v>
      </c>
      <c r="L10" s="45">
        <f>Assumptions!D32</f>
        <v>0.6</v>
      </c>
      <c r="M10" s="45">
        <f>1+Assumptions!$C$21*L10</f>
        <v>1.3</v>
      </c>
      <c r="N10" s="45">
        <f>Assumptions!E32</f>
        <v>0.8</v>
      </c>
      <c r="O10" s="45">
        <f t="shared" si="0"/>
        <v>1.04</v>
      </c>
    </row>
    <row r="11" spans="2:15" x14ac:dyDescent="0.3">
      <c r="J11" t="s">
        <v>37</v>
      </c>
    </row>
    <row r="12" spans="2:15" x14ac:dyDescent="0.3">
      <c r="B12" t="s">
        <v>32</v>
      </c>
      <c r="D12" s="28">
        <f>Assumptions!C23</f>
        <v>48</v>
      </c>
      <c r="E12" t="s">
        <v>63</v>
      </c>
      <c r="F12" s="28"/>
    </row>
    <row r="13" spans="2:15" x14ac:dyDescent="0.3">
      <c r="B13" t="s">
        <v>64</v>
      </c>
      <c r="D13" s="28">
        <f>Assumptions!C22</f>
        <v>15</v>
      </c>
      <c r="E13" t="s">
        <v>63</v>
      </c>
    </row>
    <row r="14" spans="2:15" x14ac:dyDescent="0.3">
      <c r="B14" t="s">
        <v>69</v>
      </c>
      <c r="D14" s="56">
        <f>D12/D13</f>
        <v>3.2</v>
      </c>
      <c r="E14" t="s">
        <v>70</v>
      </c>
    </row>
    <row r="15" spans="2:15" ht="15" thickBot="1" x14ac:dyDescent="0.35"/>
    <row r="16" spans="2:15" ht="58.2" thickBot="1" x14ac:dyDescent="0.35">
      <c r="B16" s="31" t="s">
        <v>0</v>
      </c>
      <c r="C16" s="31" t="s">
        <v>35</v>
      </c>
      <c r="D16" s="31" t="s">
        <v>53</v>
      </c>
      <c r="E16" s="31" t="s">
        <v>54</v>
      </c>
      <c r="F16" s="31" t="s">
        <v>5</v>
      </c>
      <c r="G16" s="31" t="s">
        <v>6</v>
      </c>
      <c r="H16" s="32" t="s">
        <v>14</v>
      </c>
      <c r="I16" s="33" t="s">
        <v>16</v>
      </c>
      <c r="J16" s="34" t="s">
        <v>23</v>
      </c>
      <c r="K16" s="35" t="s">
        <v>24</v>
      </c>
      <c r="L16" s="36" t="s">
        <v>26</v>
      </c>
      <c r="M16" s="37" t="s">
        <v>28</v>
      </c>
    </row>
    <row r="17" spans="1:15" x14ac:dyDescent="0.3">
      <c r="B17" s="38" t="str">
        <f>'1. Vehicle Mix by Area'!B3</f>
        <v>Sedan/SUV</v>
      </c>
      <c r="C17" s="38">
        <f>Assumptions!D7</f>
        <v>1</v>
      </c>
      <c r="D17" s="38">
        <f>IF(Assumptions!F7="Day",Assumptions!$C$20,1)</f>
        <v>1.2</v>
      </c>
      <c r="E17" s="38">
        <f>IF(Assumptions!F7="Night",Assumptions!$C$20,1)</f>
        <v>1</v>
      </c>
      <c r="F17" s="39">
        <f>'1. Vehicle Mix by Area'!D3</f>
        <v>0.56497175141242939</v>
      </c>
      <c r="G17" s="21" t="str">
        <f>'1. Vehicle Mix by Area'!E3</f>
        <v>Freeway</v>
      </c>
      <c r="H17" s="40">
        <f>'1. Vehicle Mix by Area'!G3</f>
        <v>0.74503311258278138</v>
      </c>
      <c r="I17" s="40">
        <f>'1. Vehicle Mix by Area'!I3</f>
        <v>0.46620046620046623</v>
      </c>
      <c r="J17" s="40">
        <f>'1. Vehicle Mix by Area'!K3</f>
        <v>0.48899755501222497</v>
      </c>
      <c r="K17" s="40">
        <f>'1. Vehicle Mix by Area'!M3</f>
        <v>0.53475935828876997</v>
      </c>
      <c r="L17" s="40">
        <f>'1. Vehicle Mix by Area'!O3</f>
        <v>0.51413881748071977</v>
      </c>
      <c r="M17" s="40">
        <f>'1. Vehicle Mix by Area'!Q3</f>
        <v>0.55325034578146615</v>
      </c>
    </row>
    <row r="18" spans="1:15" x14ac:dyDescent="0.3">
      <c r="B18" s="1" t="str">
        <f>'1. Vehicle Mix by Area'!B4</f>
        <v>Off Road</v>
      </c>
      <c r="C18" s="1">
        <f>Assumptions!D8</f>
        <v>1.4</v>
      </c>
      <c r="D18" s="47">
        <f>IF(Assumptions!F8="Day",Assumptions!$C$20,1)</f>
        <v>1.2</v>
      </c>
      <c r="E18" s="47">
        <f>IF(Assumptions!F8="Night",Assumptions!$C$20,1)</f>
        <v>1</v>
      </c>
      <c r="F18" s="3">
        <f>'1. Vehicle Mix by Area'!D4</f>
        <v>0.16949152542372881</v>
      </c>
      <c r="G18" s="22" t="str">
        <f>'1. Vehicle Mix by Area'!E4</f>
        <v>Country</v>
      </c>
      <c r="H18" s="7">
        <f>'1. Vehicle Mix by Area'!G4</f>
        <v>9.9337748344370841E-2</v>
      </c>
      <c r="I18" s="7">
        <f>'1. Vehicle Mix by Area'!I4</f>
        <v>0.31468531468531474</v>
      </c>
      <c r="J18" s="7">
        <f>'1. Vehicle Mix by Area'!K4</f>
        <v>0.14669926650366746</v>
      </c>
      <c r="K18" s="7">
        <f>'1. Vehicle Mix by Area'!M4</f>
        <v>0.16042780748663099</v>
      </c>
      <c r="L18" s="7">
        <f>'1. Vehicle Mix by Area'!O4</f>
        <v>0.15424164524421594</v>
      </c>
      <c r="M18" s="7">
        <f>'1. Vehicle Mix by Area'!Q4</f>
        <v>0.1659751037344398</v>
      </c>
    </row>
    <row r="19" spans="1:15" x14ac:dyDescent="0.3">
      <c r="B19" s="38" t="str">
        <f>'1. Vehicle Mix by Area'!B5</f>
        <v>Sport</v>
      </c>
      <c r="C19" s="38">
        <f>Assumptions!D9</f>
        <v>1.8</v>
      </c>
      <c r="D19" s="38">
        <f>IF(Assumptions!F9="Day",Assumptions!$C$20,1)</f>
        <v>1</v>
      </c>
      <c r="E19" s="38">
        <f>IF(Assumptions!F9="Night",Assumptions!$C$20,1)</f>
        <v>1.2</v>
      </c>
      <c r="F19" s="39">
        <f>'1. Vehicle Mix by Area'!D5</f>
        <v>0.12429378531073447</v>
      </c>
      <c r="G19" s="23" t="str">
        <f>'1. Vehicle Mix by Area'!E5</f>
        <v>Downtown</v>
      </c>
      <c r="H19" s="40">
        <f>'1. Vehicle Mix by Area'!G5</f>
        <v>7.2847682119205295E-2</v>
      </c>
      <c r="I19" s="40">
        <f>'1. Vehicle Mix by Area'!I5</f>
        <v>0.10256410256410259</v>
      </c>
      <c r="J19" s="40">
        <f>'1. Vehicle Mix by Area'!K5</f>
        <v>0.24205378973105138</v>
      </c>
      <c r="K19" s="40">
        <f>'1. Vehicle Mix by Area'!M5</f>
        <v>0.11764705882352941</v>
      </c>
      <c r="L19" s="40">
        <f>'1. Vehicle Mix by Area'!O5</f>
        <v>0.11311053984575836</v>
      </c>
      <c r="M19" s="40">
        <f>'1. Vehicle Mix by Area'!Q5</f>
        <v>0.12171507607192256</v>
      </c>
    </row>
    <row r="20" spans="1:15" ht="28.8" x14ac:dyDescent="0.3">
      <c r="B20" s="1" t="str">
        <f>'1. Vehicle Mix by Area'!B6</f>
        <v>Luxury High Sport</v>
      </c>
      <c r="C20" s="1">
        <f>Assumptions!D10</f>
        <v>2.2000000000000002</v>
      </c>
      <c r="D20" s="47">
        <f>IF(Assumptions!F10="Day",Assumptions!$C$20,1)</f>
        <v>1</v>
      </c>
      <c r="E20" s="47">
        <f>IF(Assumptions!F10="Night",Assumptions!$C$20,1)</f>
        <v>1.2</v>
      </c>
      <c r="F20" s="3">
        <f>'1. Vehicle Mix by Area'!D6</f>
        <v>4.519774011299435E-2</v>
      </c>
      <c r="G20" s="24" t="str">
        <f>'1. Vehicle Mix by Area'!E6</f>
        <v>Vinewood Hills</v>
      </c>
      <c r="H20" s="7">
        <f>'1. Vehicle Mix by Area'!G6</f>
        <v>2.6490066225165559E-2</v>
      </c>
      <c r="I20" s="7">
        <f>'1. Vehicle Mix by Area'!I6</f>
        <v>3.7296037296037303E-2</v>
      </c>
      <c r="J20" s="7">
        <f>'1. Vehicle Mix by Area'!K6</f>
        <v>3.9119804400977995E-2</v>
      </c>
      <c r="K20" s="7">
        <f>'1. Vehicle Mix by Area'!M6</f>
        <v>9.6256684491978606E-2</v>
      </c>
      <c r="L20" s="7">
        <f>'1. Vehicle Mix by Area'!O6</f>
        <v>4.1131105398457581E-2</v>
      </c>
      <c r="M20" s="7">
        <f>'1. Vehicle Mix by Area'!Q6</f>
        <v>4.4260027662517284E-2</v>
      </c>
    </row>
    <row r="21" spans="1:15" x14ac:dyDescent="0.3">
      <c r="B21" s="38" t="str">
        <f>'1. Vehicle Mix by Area'!B7</f>
        <v>Muscle</v>
      </c>
      <c r="C21" s="38">
        <f>Assumptions!D11</f>
        <v>1.7</v>
      </c>
      <c r="D21" s="38">
        <f>IF(Assumptions!F11="Day",Assumptions!$C$20,1)</f>
        <v>1</v>
      </c>
      <c r="E21" s="38">
        <f>IF(Assumptions!F11="Night",Assumptions!$C$20,1)</f>
        <v>1.2</v>
      </c>
      <c r="F21" s="39">
        <f>'1. Vehicle Mix by Area'!D7</f>
        <v>7.909604519774012E-2</v>
      </c>
      <c r="G21" s="25" t="str">
        <f>'1. Vehicle Mix by Area'!E7</f>
        <v>South Side</v>
      </c>
      <c r="H21" s="40">
        <f>'1. Vehicle Mix by Area'!G7</f>
        <v>4.6357615894039736E-2</v>
      </c>
      <c r="I21" s="40">
        <f>'1. Vehicle Mix by Area'!I7</f>
        <v>6.5268065268065278E-2</v>
      </c>
      <c r="J21" s="40">
        <f>'1. Vehicle Mix by Area'!K7</f>
        <v>6.8459657701711502E-2</v>
      </c>
      <c r="K21" s="40">
        <f>'1. Vehicle Mix by Area'!M7</f>
        <v>7.4866310160427801E-2</v>
      </c>
      <c r="L21" s="40">
        <f>'1. Vehicle Mix by Area'!O7</f>
        <v>0.16195372750642675</v>
      </c>
      <c r="M21" s="40">
        <f>'1. Vehicle Mix by Area'!Q7</f>
        <v>7.7455048409405258E-2</v>
      </c>
    </row>
    <row r="22" spans="1:15" ht="28.8" x14ac:dyDescent="0.3">
      <c r="B22" s="1" t="str">
        <f>'1. Vehicle Mix by Area'!B8</f>
        <v>Super Cars</v>
      </c>
      <c r="C22" s="1">
        <f>Assumptions!D12</f>
        <v>2.6</v>
      </c>
      <c r="D22" s="47">
        <f>IF(Assumptions!F12="Day",Assumptions!$C$20,1)</f>
        <v>1</v>
      </c>
      <c r="E22" s="47">
        <f>IF(Assumptions!F12="Night",Assumptions!$C$20,1)</f>
        <v>1.2</v>
      </c>
      <c r="F22" s="3">
        <f>'1. Vehicle Mix by Area'!D8</f>
        <v>1.6949152542372881E-2</v>
      </c>
      <c r="G22" s="26" t="str">
        <f>'1. Vehicle Mix by Area'!E8</f>
        <v>Rockford Hills</v>
      </c>
      <c r="H22" s="7">
        <f>'1. Vehicle Mix by Area'!G8</f>
        <v>9.9337748344370848E-3</v>
      </c>
      <c r="I22" s="7">
        <f>'1. Vehicle Mix by Area'!I8</f>
        <v>1.3986013986013988E-2</v>
      </c>
      <c r="J22" s="7">
        <f>'1. Vehicle Mix by Area'!K8</f>
        <v>1.466992665036675E-2</v>
      </c>
      <c r="K22" s="7">
        <f>'1. Vehicle Mix by Area'!M8</f>
        <v>1.60427807486631E-2</v>
      </c>
      <c r="L22" s="7">
        <f>'1. Vehicle Mix by Area'!O8</f>
        <v>1.5424164524421594E-2</v>
      </c>
      <c r="M22" s="7">
        <f>'1. Vehicle Mix by Area'!Q8</f>
        <v>3.7344398340248962E-2</v>
      </c>
    </row>
    <row r="23" spans="1:15" x14ac:dyDescent="0.3">
      <c r="A23" s="49"/>
      <c r="B23" s="50"/>
      <c r="C23" s="50"/>
      <c r="D23" s="51"/>
      <c r="E23" s="51"/>
      <c r="F23" s="52"/>
      <c r="G23" s="53"/>
      <c r="H23" s="54"/>
      <c r="I23" s="54"/>
      <c r="J23" s="54"/>
      <c r="K23" s="54"/>
      <c r="L23" s="54"/>
      <c r="M23" s="54"/>
      <c r="N23" s="55"/>
    </row>
    <row r="24" spans="1:15" x14ac:dyDescent="0.3">
      <c r="M24" t="s">
        <v>65</v>
      </c>
    </row>
    <row r="25" spans="1:15" x14ac:dyDescent="0.3">
      <c r="M25" s="21" t="s">
        <v>7</v>
      </c>
      <c r="N25">
        <f>Assumptions!C27</f>
        <v>0</v>
      </c>
      <c r="O25" s="41">
        <f t="shared" ref="O25:O30" si="1">N25/$N$31</f>
        <v>0</v>
      </c>
    </row>
    <row r="26" spans="1:15" x14ac:dyDescent="0.3">
      <c r="G26" s="42"/>
      <c r="M26" s="22" t="s">
        <v>8</v>
      </c>
      <c r="N26">
        <f>Assumptions!C28</f>
        <v>24</v>
      </c>
      <c r="O26" s="41">
        <f t="shared" si="1"/>
        <v>0.41379310344827586</v>
      </c>
    </row>
    <row r="27" spans="1:15" x14ac:dyDescent="0.3">
      <c r="B27" s="41" t="s">
        <v>60</v>
      </c>
      <c r="C27" t="s">
        <v>52</v>
      </c>
      <c r="D27" t="s">
        <v>55</v>
      </c>
      <c r="E27" t="s">
        <v>56</v>
      </c>
      <c r="F27" t="s">
        <v>57</v>
      </c>
      <c r="G27" t="s">
        <v>58</v>
      </c>
      <c r="H27" t="s">
        <v>59</v>
      </c>
      <c r="I27" t="s">
        <v>61</v>
      </c>
      <c r="J27" t="s">
        <v>62</v>
      </c>
      <c r="M27" s="23" t="s">
        <v>9</v>
      </c>
      <c r="N27">
        <f>Assumptions!C29</f>
        <v>14</v>
      </c>
      <c r="O27" s="41">
        <f t="shared" si="1"/>
        <v>0.2413793103448276</v>
      </c>
    </row>
    <row r="28" spans="1:15" x14ac:dyDescent="0.3">
      <c r="B28" t="s">
        <v>7</v>
      </c>
      <c r="C28" s="42">
        <f>SUMPRODUCT(H17:H22,$C$17:$C$22,$D$17:$D$22)/SUMPRODUCT(H17:H22,$D$17:$D$22)</f>
        <v>1.1592067988668557</v>
      </c>
      <c r="D28" s="42">
        <f>SUMPRODUCT(H17:H22,$C$17:$C$22,$E$17:$E$22)/SUMPRODUCT(H17:H22,$E$17:$E$22)</f>
        <v>1.1996146435452792</v>
      </c>
      <c r="E28" s="45">
        <f t="shared" ref="E28:E33" si="2">M5</f>
        <v>1</v>
      </c>
      <c r="F28" s="45">
        <f t="shared" ref="F28:F33" si="3">O5</f>
        <v>1</v>
      </c>
      <c r="G28" s="48">
        <f>C28*E28</f>
        <v>1.1592067988668557</v>
      </c>
      <c r="H28" s="48">
        <f>D28*F28</f>
        <v>1.1996146435452792</v>
      </c>
      <c r="I28" s="42">
        <f>SUMPRODUCT(O25,Table2[[#This Row],[Final Day]])</f>
        <v>0</v>
      </c>
      <c r="J28" s="42">
        <f>SUMPRODUCT(O25,Table2[[#This Row],[Final Night]])</f>
        <v>0</v>
      </c>
      <c r="M28" s="24" t="s">
        <v>10</v>
      </c>
      <c r="N28">
        <f>Assumptions!C30</f>
        <v>10</v>
      </c>
      <c r="O28" s="41">
        <f t="shared" si="1"/>
        <v>0.17241379310344829</v>
      </c>
    </row>
    <row r="29" spans="1:15" x14ac:dyDescent="0.3">
      <c r="B29" t="s">
        <v>8</v>
      </c>
      <c r="C29" s="42">
        <f>SUMPRODUCT(I17:I22,$C$17:$C$22,$D$17:$D$22)/SUMPRODUCT(I17:I22,$D$17:$D$22)</f>
        <v>1.2991935483870964</v>
      </c>
      <c r="D29" s="42">
        <f>SUMPRODUCT(I17:I22,$C$17:$C$22,$E$17:$E$22)/SUMPRODUCT(I17:I22,$E$17:$E$22)</f>
        <v>1.3446181330951317</v>
      </c>
      <c r="E29" s="45">
        <f t="shared" si="2"/>
        <v>1.1499999999999999</v>
      </c>
      <c r="F29" s="45">
        <f t="shared" si="3"/>
        <v>0.80499999999999994</v>
      </c>
      <c r="G29" s="48">
        <f>C29*E29</f>
        <v>1.4940725806451607</v>
      </c>
      <c r="H29" s="48">
        <f t="shared" ref="H29:H33" si="4">D29*F29</f>
        <v>1.0824175971415808</v>
      </c>
      <c r="I29" s="42">
        <f>SUMPRODUCT(O26,Table2[[#This Row],[Final Day]])</f>
        <v>0.61823692992213541</v>
      </c>
      <c r="J29" s="42">
        <f>SUMPRODUCT(O26,Table2[[#This Row],[Final Night]])</f>
        <v>0.44789693674824033</v>
      </c>
      <c r="M29" s="30" t="s">
        <v>11</v>
      </c>
      <c r="N29">
        <f>Assumptions!C31</f>
        <v>7</v>
      </c>
      <c r="O29" s="41">
        <f t="shared" si="1"/>
        <v>0.1206896551724138</v>
      </c>
    </row>
    <row r="30" spans="1:15" x14ac:dyDescent="0.3">
      <c r="B30" t="s">
        <v>9</v>
      </c>
      <c r="C30" s="42">
        <f>SUMPRODUCT(J17:J22,$C$17:$C$22,$D$17:$D$22)/SUMPRODUCT(J17:J22,$D$17:$D$22)</f>
        <v>1.3392624728850326</v>
      </c>
      <c r="D30" s="42">
        <f>SUMPRODUCT(J17:J22,$C$17:$C$22,$E$17:$E$22)/SUMPRODUCT(J17:J22,$E$17:$E$22)</f>
        <v>1.4036463081130357</v>
      </c>
      <c r="E30" s="45">
        <f t="shared" si="2"/>
        <v>1.3</v>
      </c>
      <c r="F30" s="45">
        <f t="shared" si="3"/>
        <v>1.2349999999999999</v>
      </c>
      <c r="G30" s="48">
        <f t="shared" ref="G30:G33" si="5">C30*E30</f>
        <v>1.7410412147505425</v>
      </c>
      <c r="H30" s="48">
        <f t="shared" si="4"/>
        <v>1.733503190519599</v>
      </c>
      <c r="I30" s="42">
        <f>SUMPRODUCT(O27,Table2[[#This Row],[Final Day]])</f>
        <v>0.42025132769840684</v>
      </c>
      <c r="J30" s="42">
        <f>SUMPRODUCT(O27,Table2[[#This Row],[Final Night]])</f>
        <v>0.41843180460817908</v>
      </c>
      <c r="M30" s="26" t="s">
        <v>19</v>
      </c>
      <c r="N30">
        <f>Assumptions!C32</f>
        <v>3</v>
      </c>
      <c r="O30" s="41">
        <f t="shared" si="1"/>
        <v>5.1724137931034482E-2</v>
      </c>
    </row>
    <row r="31" spans="1:15" x14ac:dyDescent="0.3">
      <c r="B31" t="s">
        <v>43</v>
      </c>
      <c r="C31" s="42">
        <f>SUMPRODUCT(K17:K22,$C$17:$C$22,$D$17:$D$22)/SUMPRODUCT(K17:K22,$D$17:$D$22)</f>
        <v>1.3201877934272297</v>
      </c>
      <c r="D31" s="42">
        <f>SUMPRODUCT(K17:K22,$C$17:$C$22,$E$17:$E$22)/SUMPRODUCT(K17:K22,$E$17:$E$22)</f>
        <v>1.3858870967741939</v>
      </c>
      <c r="E31" s="45">
        <f t="shared" si="2"/>
        <v>1.25</v>
      </c>
      <c r="F31" s="45">
        <f t="shared" si="3"/>
        <v>1.125</v>
      </c>
      <c r="G31" s="48">
        <f t="shared" si="5"/>
        <v>1.6502347417840371</v>
      </c>
      <c r="H31" s="48">
        <f t="shared" si="4"/>
        <v>1.5591229838709681</v>
      </c>
      <c r="I31" s="42">
        <f>SUMPRODUCT(O28,Table2[[#This Row],[Final Day]])</f>
        <v>0.28452323134207536</v>
      </c>
      <c r="J31" s="42">
        <f>SUMPRODUCT(O28,Table2[[#This Row],[Final Night]])</f>
        <v>0.26881430756396002</v>
      </c>
      <c r="M31" t="s">
        <v>68</v>
      </c>
      <c r="N31">
        <f>SUM(N25:N30)</f>
        <v>58</v>
      </c>
      <c r="O31" s="46">
        <f>SUM(O25:O30)</f>
        <v>1</v>
      </c>
    </row>
    <row r="32" spans="1:15" x14ac:dyDescent="0.3">
      <c r="B32" t="s">
        <v>42</v>
      </c>
      <c r="C32" s="42">
        <f>SUMPRODUCT(L17:L22,$C$17:$C$22,$D$17:$D$22)/SUMPRODUCT(L17:L22,$D$17:$D$22)</f>
        <v>1.3104308390022679</v>
      </c>
      <c r="D32" s="42">
        <f>SUMPRODUCT(L17:L22,$C$17:$C$22,$E$17:$E$22)/SUMPRODUCT(L17:L22,$E$17:$E$22)</f>
        <v>1.3705882352941179</v>
      </c>
      <c r="E32" s="45">
        <f t="shared" si="2"/>
        <v>1.35</v>
      </c>
      <c r="F32" s="45">
        <f t="shared" si="3"/>
        <v>1.08</v>
      </c>
      <c r="G32" s="48">
        <f t="shared" si="5"/>
        <v>1.7690816326530618</v>
      </c>
      <c r="H32" s="48">
        <f t="shared" si="4"/>
        <v>1.4802352941176473</v>
      </c>
      <c r="I32" s="42">
        <f>SUMPRODUCT(O29,Table2[[#This Row],[Final Day]])</f>
        <v>0.21350985221674884</v>
      </c>
      <c r="J32" s="42">
        <f>SUMPRODUCT(O29,Table2[[#This Row],[Final Night]])</f>
        <v>0.17864908722109538</v>
      </c>
    </row>
    <row r="33" spans="2:15" x14ac:dyDescent="0.3">
      <c r="B33" t="s">
        <v>44</v>
      </c>
      <c r="C33" s="42">
        <f>SUMPRODUCT(M17:M22,$C$17:$C$22,$D$17:$D$22)/SUMPRODUCT(M17:M22,$D$17:$D$22)</f>
        <v>1.3008464328899638</v>
      </c>
      <c r="D33" s="42">
        <f>SUMPRODUCT(M17:M22,$C$17:$C$22,$E$17:$E$22)/SUMPRODUCT(M17:M22,$E$17:$E$22)</f>
        <v>1.3633315872184391</v>
      </c>
      <c r="E33" s="45">
        <f t="shared" si="2"/>
        <v>1.3</v>
      </c>
      <c r="F33" s="45">
        <f t="shared" si="3"/>
        <v>1.04</v>
      </c>
      <c r="G33" s="48">
        <f t="shared" si="5"/>
        <v>1.691100362756953</v>
      </c>
      <c r="H33" s="48">
        <f t="shared" si="4"/>
        <v>1.4178648507071767</v>
      </c>
      <c r="I33" s="42">
        <f>SUMPRODUCT(O30,Table2[[#This Row],[Final Day]])</f>
        <v>8.7470708418463078E-2</v>
      </c>
      <c r="J33" s="42">
        <f>SUMPRODUCT(O30,Table2[[#This Row],[Final Night]])</f>
        <v>7.3337837105543618E-2</v>
      </c>
      <c r="M33" t="s">
        <v>71</v>
      </c>
      <c r="N33">
        <f>N31*D13</f>
        <v>870</v>
      </c>
      <c r="O33" s="81">
        <f>N33/60</f>
        <v>14.5</v>
      </c>
    </row>
    <row r="34" spans="2:15" x14ac:dyDescent="0.3">
      <c r="C34" s="42"/>
      <c r="D34" s="42"/>
      <c r="E34" s="45"/>
      <c r="F34" s="45"/>
      <c r="G34" s="48"/>
      <c r="H34" s="48" t="s">
        <v>67</v>
      </c>
      <c r="I34" s="42">
        <f>SUBTOTAL(109,Table2[Day&amp;Missions])</f>
        <v>1.6239920495978297</v>
      </c>
      <c r="J34" s="42">
        <f>SUBTOTAL(109,Table2[Night&amp;Missions])</f>
        <v>1.3871299732470181</v>
      </c>
      <c r="M34" t="s">
        <v>72</v>
      </c>
      <c r="N34">
        <f>N33/D12</f>
        <v>18.125</v>
      </c>
      <c r="O34" t="s">
        <v>73</v>
      </c>
    </row>
    <row r="35" spans="2:15" x14ac:dyDescent="0.3">
      <c r="C35" s="42"/>
      <c r="D35" s="42"/>
      <c r="E35" s="45"/>
      <c r="F35" s="45"/>
      <c r="G35" s="48"/>
      <c r="H35" s="48"/>
      <c r="I35" s="42"/>
      <c r="J35" s="42"/>
    </row>
    <row r="36" spans="2:15" ht="41.4" x14ac:dyDescent="0.3">
      <c r="G36" s="103" t="s">
        <v>145</v>
      </c>
      <c r="H36" s="45">
        <f>Table2[[#Totals],[Day&amp;Missions]]-Table2[[#Totals],[Night&amp;Missions]]</f>
        <v>0.23686207635081158</v>
      </c>
      <c r="I36" s="94">
        <f>H36/Table2[[#Totals],[Day&amp;Missions]]</f>
        <v>0.14585174626283967</v>
      </c>
    </row>
    <row r="37" spans="2:15" x14ac:dyDescent="0.3">
      <c r="H37" s="104" t="s">
        <v>146</v>
      </c>
      <c r="I37" s="104" t="s">
        <v>46</v>
      </c>
    </row>
    <row r="40" spans="2:15" ht="15.6" x14ac:dyDescent="0.3">
      <c r="G40" s="82" t="s">
        <v>116</v>
      </c>
    </row>
    <row r="41" spans="2:15" ht="30" customHeight="1" x14ac:dyDescent="0.3">
      <c r="G41" s="83" t="s">
        <v>117</v>
      </c>
      <c r="H41" s="83" t="s">
        <v>118</v>
      </c>
      <c r="I41" s="83" t="s">
        <v>119</v>
      </c>
      <c r="J41" s="83" t="s">
        <v>120</v>
      </c>
    </row>
    <row r="42" spans="2:15" x14ac:dyDescent="0.3">
      <c r="G42" s="84">
        <v>0</v>
      </c>
      <c r="H42" s="85">
        <f>Table2[[#Totals],[Day&amp;Missions]]</f>
        <v>1.6239920495978297</v>
      </c>
      <c r="I42" s="85" cm="1">
        <f t="array" ref="I42">SUMPRODUCT(Table2[Night Mix],Table2[Pop Day],1-G42*(1-$N$5:$N$10),$O$25:$O$30)</f>
        <v>1.6939735173179593</v>
      </c>
      <c r="J42" s="86">
        <f>I42/H42-1</f>
        <v>4.3092247734500821E-2</v>
      </c>
    </row>
    <row r="43" spans="2:15" x14ac:dyDescent="0.3">
      <c r="G43" s="87">
        <v>0.5</v>
      </c>
      <c r="H43" s="71">
        <f>Table2[[#Totals],[Day&amp;Missions]]</f>
        <v>1.6239920495978297</v>
      </c>
      <c r="I43" s="71" cm="1">
        <f t="array" ref="I43">SUMPRODUCT(Table2[Night Mix],Table2[Pop Day],1-G43*(1-$N$5:$N$10),$O$25:$O$30)</f>
        <v>1.5405517452824888</v>
      </c>
      <c r="J43" s="88">
        <f t="shared" ref="J43:J46" si="6">I43/H43-1</f>
        <v>-5.1379749264169328E-2</v>
      </c>
    </row>
    <row r="44" spans="2:15" x14ac:dyDescent="0.3">
      <c r="G44" s="89">
        <v>1</v>
      </c>
      <c r="H44" s="90">
        <f>Table2[[#Totals],[Day&amp;Missions]]</f>
        <v>1.6239920495978297</v>
      </c>
      <c r="I44" s="90" cm="1">
        <f t="array" ref="I44">SUMPRODUCT(Table2[Night Mix],Table2[Pop Day],1-G44*(1-$N$5:$N$10),$O$25:$O$30)</f>
        <v>1.3871299732470184</v>
      </c>
      <c r="J44" s="91">
        <f t="shared" si="6"/>
        <v>-0.14585174626283948</v>
      </c>
    </row>
    <row r="45" spans="2:15" x14ac:dyDescent="0.3">
      <c r="G45" s="87">
        <v>1.5</v>
      </c>
      <c r="H45" s="71">
        <f>Table2[[#Totals],[Day&amp;Missions]]</f>
        <v>1.6239920495978297</v>
      </c>
      <c r="I45" s="71" cm="1">
        <f t="array" ref="I45">SUMPRODUCT(Table2[Night Mix],Table2[Pop Day],1-G45*(1-$N$5:$N$10),$O$25:$O$30)</f>
        <v>1.2337082012115483</v>
      </c>
      <c r="J45" s="88">
        <f t="shared" si="6"/>
        <v>-0.24032374326150951</v>
      </c>
    </row>
    <row r="46" spans="2:15" x14ac:dyDescent="0.3">
      <c r="G46" s="87">
        <v>2</v>
      </c>
      <c r="H46" s="71">
        <f>Table2[[#Totals],[Day&amp;Missions]]</f>
        <v>1.6239920495978297</v>
      </c>
      <c r="I46" s="71" cm="1">
        <f t="array" ref="I46">SUMPRODUCT(Table2[Night Mix],Table2[Pop Day],1-G46*(1-$N$5:$N$10),$O$25:$O$30)</f>
        <v>1.0802864291760779</v>
      </c>
      <c r="J46" s="88">
        <f t="shared" si="6"/>
        <v>-0.33479574026017966</v>
      </c>
    </row>
    <row r="47" spans="2:15" x14ac:dyDescent="0.3">
      <c r="G47" s="92" t="s">
        <v>121</v>
      </c>
    </row>
    <row r="48" spans="2:15" x14ac:dyDescent="0.3">
      <c r="G48" s="43" t="s">
        <v>122</v>
      </c>
      <c r="H48" s="43"/>
      <c r="I48" s="43"/>
      <c r="J48" s="93">
        <f>Table2[[#Totals],[Day&amp;Missions]]/SUMPRODUCT(Table2[Night Mix],Table2[Pop Day],$O$25:$O$30)</f>
        <v>0.95868798006303535</v>
      </c>
    </row>
    <row r="49" spans="7:7" x14ac:dyDescent="0.3">
      <c r="G49" s="92" t="s">
        <v>123</v>
      </c>
    </row>
  </sheetData>
  <conditionalFormatting sqref="G28:H33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{2AD83857-3DB4-45CA-9386-AF8752949BB6}</x14:id>
        </ext>
      </extLst>
    </cfRule>
  </conditionalFormatting>
  <conditionalFormatting sqref="H17:H23">
    <cfRule type="dataBar" priority="8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{C0BB8CDE-46C0-4751-8FA2-93A0450A4067}</x14:id>
        </ext>
      </extLst>
    </cfRule>
  </conditionalFormatting>
  <conditionalFormatting sqref="I17:I23">
    <cfRule type="dataBar" priority="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{88161858-4BBA-47FD-AB02-B6E4508FCFF0}</x14:id>
        </ext>
      </extLst>
    </cfRule>
  </conditionalFormatting>
  <conditionalFormatting sqref="J17:J23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{9E4D928D-E518-444F-B495-BEEDCCF31D51}</x14:id>
        </ext>
      </extLst>
    </cfRule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{CB9C1B0D-E464-4D06-B661-E7A538A10D8B}</x14:id>
        </ext>
      </extLst>
    </cfRule>
  </conditionalFormatting>
  <conditionalFormatting sqref="K17:K23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{39640DBA-6770-4649-8052-537BC4A3E8B4}</x14:id>
        </ext>
      </extLst>
    </cfRule>
  </conditionalFormatting>
  <conditionalFormatting sqref="L17:L23">
    <cfRule type="dataBar" priority="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{4DF4118E-8CFD-4F2C-92A1-F8828FE3D121}</x14:id>
        </ext>
      </extLst>
    </cfRule>
  </conditionalFormatting>
  <conditionalFormatting sqref="M17:M23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{B247570B-866C-4832-B5AE-EA627271DAED}</x14:id>
        </ext>
      </extLst>
    </cfRule>
  </conditionalFormatting>
  <pageMargins left="0.25" right="0.25" top="0.75" bottom="0.75" header="0.3" footer="0.3"/>
  <pageSetup paperSize="3" scale="71" orientation="landscape" horizontalDpi="1200" verticalDpi="1200" r:id="rId1"/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AD83857-3DB4-45CA-9386-AF8752949BB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G28:H33</xm:sqref>
        </x14:conditionalFormatting>
        <x14:conditionalFormatting xmlns:xm="http://schemas.microsoft.com/office/excel/2006/main">
          <x14:cfRule type="dataBar" id="{C0BB8CDE-46C0-4751-8FA2-93A0450A406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H17:H23</xm:sqref>
        </x14:conditionalFormatting>
        <x14:conditionalFormatting xmlns:xm="http://schemas.microsoft.com/office/excel/2006/main">
          <x14:cfRule type="dataBar" id="{88161858-4BBA-47FD-AB02-B6E4508FCFF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I17:I23</xm:sqref>
        </x14:conditionalFormatting>
        <x14:conditionalFormatting xmlns:xm="http://schemas.microsoft.com/office/excel/2006/main">
          <x14:cfRule type="dataBar" id="{9E4D928D-E518-444F-B495-BEEDCCF31D5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B9C1B0D-E464-4D06-B661-E7A538A10D8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J17:J23</xm:sqref>
        </x14:conditionalFormatting>
        <x14:conditionalFormatting xmlns:xm="http://schemas.microsoft.com/office/excel/2006/main">
          <x14:cfRule type="dataBar" id="{39640DBA-6770-4649-8052-537BC4A3E8B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K17:K23</xm:sqref>
        </x14:conditionalFormatting>
        <x14:conditionalFormatting xmlns:xm="http://schemas.microsoft.com/office/excel/2006/main">
          <x14:cfRule type="dataBar" id="{4DF4118E-8CFD-4F2C-92A1-F8828FE3D121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L17:L23</xm:sqref>
        </x14:conditionalFormatting>
        <x14:conditionalFormatting xmlns:xm="http://schemas.microsoft.com/office/excel/2006/main">
          <x14:cfRule type="dataBar" id="{B247570B-866C-4832-B5AE-EA627271DAE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M17:M23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Assumptions</vt:lpstr>
      <vt:lpstr>1. Vehicle Mix by Area</vt:lpstr>
      <vt:lpstr>2. Mission Difficulty</vt:lpstr>
      <vt:lpstr>3. Day vs Night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 X</dc:creator>
  <cp:lastModifiedBy>AZ X</cp:lastModifiedBy>
  <cp:lastPrinted>2026-10-15T18:58:01Z</cp:lastPrinted>
  <dcterms:created xsi:type="dcterms:W3CDTF">2026-02-04T17:38:47Z</dcterms:created>
  <dcterms:modified xsi:type="dcterms:W3CDTF">2026-10-15T18:58:39Z</dcterms:modified>
</cp:coreProperties>
</file>